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tabRatio="861" firstSheet="2" activeTab="2"/>
  </bookViews>
  <sheets>
    <sheet name="Tähistus" sheetId="1" state="hidden" r:id="rId1"/>
    <sheet name="Uhikhinnad" sheetId="2" state="hidden" r:id="rId2"/>
    <sheet name="Koond" sheetId="3" r:id="rId3"/>
    <sheet name="Tühi" sheetId="4" state="hidden" r:id="rId4"/>
    <sheet name="1. Võnnu" sheetId="5" r:id="rId5"/>
    <sheet name="2. Kaagvere" sheetId="6" r:id="rId6"/>
    <sheet name="3. Melliste" sheetId="7" r:id="rId7"/>
    <sheet name="4. Võõpste" sheetId="8" r:id="rId8"/>
    <sheet name="5. Poka" sheetId="9" r:id="rId9"/>
    <sheet name="6. Mäksa" sheetId="10" r:id="rId10"/>
    <sheet name="7. Roiu" sheetId="11" r:id="rId11"/>
    <sheet name="8. Päkste" sheetId="12" r:id="rId12"/>
    <sheet name="9. Ignase" sheetId="13" r:id="rId13"/>
    <sheet name="10. Aardla küla" sheetId="14" r:id="rId14"/>
    <sheet name="11. Kurepalu küla" sheetId="15" r:id="rId15"/>
    <sheet name="12. Haaslava ja Aardlapalu" sheetId="16" r:id="rId16"/>
    <sheet name="Päkste RVP " sheetId="17" state="hidden" r:id="rId17"/>
  </sheets>
  <externalReferences>
    <externalReference r:id="rId20"/>
  </externalReferences>
  <definedNames>
    <definedName name="_xlnm._FilterDatabase">'Uhikhinnad'!$A$4:$E$74</definedName>
    <definedName name="_xlnm.Print_Area" localSheetId="4">'1. Võnnu'!$B$1:$H$101</definedName>
    <definedName name="_xlnm.Print_Area" localSheetId="13">'10. Aardla küla'!$A$1:$H$72</definedName>
    <definedName name="_xlnm.Print_Area" localSheetId="14">'11. Kurepalu küla'!$A$1:$H$72</definedName>
    <definedName name="_xlnm.Print_Area" localSheetId="15">'12. Haaslava ja Aardlapalu'!$A$1:$H$60</definedName>
    <definedName name="_xlnm.Print_Area" localSheetId="5">'2. Kaagvere'!$B$1:$H$60</definedName>
    <definedName name="_xlnm.Print_Area" localSheetId="8">'5. Poka'!$A$1:$H$57</definedName>
    <definedName name="_xlnm.Print_Area" localSheetId="9">'6. Mäksa'!$A$1:$H$68</definedName>
    <definedName name="_xlnm.Print_Area" localSheetId="10">'7. Roiu'!$A$1:$H$71</definedName>
    <definedName name="_xlnm.Print_Area" localSheetId="11">'8. Päkste'!$A$1:$H$70</definedName>
    <definedName name="_xlnm.Print_Area" localSheetId="12">'9. Ignase'!$A$1:$H$69</definedName>
  </definedNames>
  <calcPr fullCalcOnLoad="1"/>
</workbook>
</file>

<file path=xl/comments2.xml><?xml version="1.0" encoding="utf-8"?>
<comments xmlns="http://schemas.openxmlformats.org/spreadsheetml/2006/main">
  <authors>
    <author/>
    <author>Nils K?ndler - INFRAGATE</author>
  </authors>
  <commentList>
    <comment ref="E4" authorId="0">
      <text>
        <r>
          <rPr>
            <sz val="10"/>
            <rFont val="Arial"/>
            <family val="2"/>
          </rPr>
          <t>Nils:
Hind sisaldab materjale ja ehitustööd sh katete taastamist ja haljastust.
Ei sisalda käibemaksu.
Samuti ei sisalda lisakulusid: ettenägematud kulud, ehitusjärelvalve. Need liidetakse hiljem projekti kogumaksumusele otsa.</t>
        </r>
      </text>
    </comment>
    <comment ref="F4" authorId="0">
      <text>
        <r>
          <rPr>
            <sz val="10"/>
            <rFont val="Arial"/>
            <family val="2"/>
          </rPr>
          <t>Nils Kändler:
Baashind lisandub hinnale</t>
        </r>
      </text>
    </comment>
    <comment ref="B8" authorId="0">
      <text>
        <r>
          <rPr>
            <sz val="10"/>
            <rFont val="Arial"/>
            <family val="2"/>
          </rPr>
          <t>Nils Kändler:
puurkaevupump, siibrid, tagasivooluklapp, veemõõtja, proovivõtukraan, torustikud, hüdrofoor.
Pumpla juhtimis- ja valveseadmed SCADA</t>
        </r>
      </text>
    </comment>
    <comment ref="B15" authorId="0">
      <text>
        <r>
          <rPr>
            <sz val="10"/>
            <rFont val="Arial"/>
            <family val="2"/>
          </rPr>
          <t>Nils Kändler:
Kaks pumpa, roostevabad torud, siibrid
Sagedusmuundurid, elekter, juhtimissüsteem</t>
        </r>
      </text>
    </comment>
    <comment ref="B30" authorId="0">
      <text>
        <r>
          <rPr>
            <sz val="10"/>
            <rFont val="Arial"/>
            <family val="2"/>
          </rPr>
          <t>Nils Kändler:
Asfalt- ja tsementbetoon
Mustkate</t>
        </r>
      </text>
    </comment>
    <comment ref="B35" authorId="0">
      <text>
        <r>
          <rPr>
            <sz val="10"/>
            <rFont val="Arial"/>
            <family val="2"/>
          </rPr>
          <t>Nils Kändler:
Torustik tänavatorustikust kuni 1m kinnistupiirini. Sisaldab maakraani koos kapega ja otsakorki</t>
        </r>
      </text>
    </comment>
    <comment ref="B52" authorId="0">
      <text>
        <r>
          <rPr>
            <sz val="10"/>
            <rFont val="Arial"/>
            <family val="2"/>
          </rPr>
          <t>Nils Kändler:
Asfalt- ja tsementbetoon
Mustkate</t>
        </r>
      </text>
    </comment>
    <comment ref="B53" authorId="0">
      <text>
        <r>
          <rPr>
            <sz val="10"/>
            <rFont val="Arial"/>
            <family val="2"/>
          </rPr>
          <t>Nils Kändler:
Asfalt- ja tsementbetoon
Mustkate</t>
        </r>
      </text>
    </comment>
    <comment ref="B69" authorId="0">
      <text>
        <r>
          <rPr>
            <sz val="10"/>
            <rFont val="Arial"/>
            <family val="2"/>
          </rPr>
          <t>Nils Kändler:
Nt kahekambriline kuivasetusega pumpadega vm</t>
        </r>
      </text>
    </comment>
    <comment ref="B70" authorId="0">
      <text>
        <r>
          <rPr>
            <sz val="10"/>
            <rFont val="Arial"/>
            <family val="2"/>
          </rPr>
          <t>Nils Kändler:
Torustik maksimaalselt 1m kinnistupiirist kuni tänavatorustikuni. Sisaldab kontrollkaevu 200/160 ja otsakorki</t>
        </r>
      </text>
    </comment>
    <comment ref="B74" authorId="0">
      <text>
        <r>
          <rPr>
            <sz val="10"/>
            <rFont val="Arial"/>
            <family val="2"/>
          </rPr>
          <t>Nils Kändler:
TÜÜP 1. Reovee vooluhulk kuni 10 m3/d. Mehaaniline eelpuhastus käsivõre + septik + looduslähedane puhasti (kas biotiikvõi filterväljak)
– septiku sete veetakse põllule või  suuremasse reoveepuhastisse. 
Vastavalt reovee kontsentratsioonile puhastatakse reovesi kas üheastmelises looduslähedases ipuhastis ( biotiigis või filterväljakul) või mitmeastmelises - järjestikku 2...3 biotiiiki või filtrväljakuleile järgneb biotiik või tiigid.
Purgimissõlme pole soovitatav rajada.</t>
        </r>
      </text>
    </comment>
    <comment ref="B75" authorId="0">
      <text>
        <r>
          <rPr>
            <sz val="10"/>
            <rFont val="Arial"/>
            <family val="2"/>
          </rPr>
          <t>Nils Kändler:
TÜÜP 2. Reovee vooluhulk 10 - 100 m3/d. Eelpuhastus: võre + võreprahi press mehaanilise võre korral, septik,  kompaktpuhasti (aktiivmuda- või biokileseade või kombinatsioon neist), järelpuhasti (1-2 biotiiki). 
Jääkmuda kompaktpuhastist eemaldatakse septikusse. Septiku sete mudatihendisse või mudaväljakule ja lõppkäitlus - komposteerimine kas kohapeal või vastavat tehnoloogiat ja seadmestiku omavale puhastile. Lähtuda KKM 30.12.2002. a määruse nr 78 "Reoveesette põllumajanduses, haljastuses ja rekultiveerimisel kasutamise nõuded" nõuetest.
Purgimissõlme pole soovitatav rajada.</t>
        </r>
      </text>
    </comment>
    <comment ref="B76" authorId="0">
      <text>
        <r>
          <rPr>
            <sz val="10"/>
            <rFont val="Arial"/>
            <family val="2"/>
          </rPr>
          <t>Nils Kändler:
TÜÜP 3. Reovee vooluhulk üle 100 m3/d. Individuaallahend, mille kosesisus on:
- mehaaniline eelpuhastus - 2 võret: üks mehaaniline võre koos võreprahi pressiga, teine käsivõre möödavoolul;
- aktiivmudapuhasti koos fosfori keemilise ärastusega, vajadusel lämmastiku bioloogilise ärastuse rakendamine;
- vajadusel järelpuhastus 1-2 biotiigis (maaala olemasolul) või sundläbipesuga liivafilter.
Jääkmuda eemaldatakse mudatihendajasse ja sellest muda vahemahutisse ning edasi muda mehaaniline veetustamine lint- või tigupressiga. 
Rreoveesette lõppkäitlus: kas kohapealne komposteerimine - eeldab väljaku rajamist (vajalik vastava maa-ala olemasolu) ja tugiainega segamist (tugiaineks turvas, puiduhake, -koor, saepuru, põhk vms). Vajalik kopaga varustatud ratastraktor-buldooser ja järelhaagis-laotur. 
 Purgimissõlmel võre ning vooluhulga ja reostuskoormuse ühtlusti.</t>
        </r>
      </text>
    </comment>
    <comment ref="B77" authorId="0">
      <text>
        <r>
          <rPr>
            <sz val="10"/>
            <rFont val="Arial"/>
            <family val="2"/>
          </rPr>
          <t>Nils Kändler:
täiskomplektne purgla, juurdepääsutee, juhtimiselektroonika sh magnetkaardi lugeja</t>
        </r>
      </text>
    </comment>
    <comment ref="B79" authorId="0">
      <text>
        <r>
          <rPr>
            <sz val="10"/>
            <rFont val="Arial"/>
            <family val="2"/>
          </rPr>
          <t xml:space="preserve">Nils Kändler:
Tiigi puhastus esialgse põhjani, väljavoolutorustikud, kaevud, proovivõtukaev.
</t>
        </r>
      </text>
    </comment>
    <comment ref="B81" authorId="0">
      <text>
        <r>
          <rPr>
            <sz val="10"/>
            <rFont val="Arial"/>
            <family val="2"/>
          </rPr>
          <t>Berit:
as veeseadmed, koos torudega</t>
        </r>
      </text>
    </comment>
    <comment ref="B148" authorId="0">
      <text>
        <r>
          <rPr>
            <sz val="10"/>
            <rFont val="Arial"/>
            <family val="2"/>
          </rPr>
          <t xml:space="preserve">Berit:
müüriladumiseks, elektri- ja kanalisatsioonitrasside tagasitäitmiseks, filtriliivaks, </t>
        </r>
      </text>
    </comment>
    <comment ref="E148" authorId="0">
      <text>
        <r>
          <rPr>
            <sz val="10"/>
            <rFont val="Arial"/>
            <family val="2"/>
          </rPr>
          <t xml:space="preserve">Berit:
1 m3 killustikku kaalub auto kastis ca 1,3-1,8 t
</t>
        </r>
      </text>
    </comment>
    <comment ref="B149" authorId="0">
      <text>
        <r>
          <rPr>
            <sz val="10"/>
            <rFont val="Arial"/>
            <family val="2"/>
          </rPr>
          <t>Berit:
betoonitööd, täitmistööd</t>
        </r>
      </text>
    </comment>
    <comment ref="E149" authorId="0">
      <text>
        <r>
          <rPr>
            <sz val="10"/>
            <rFont val="Arial"/>
            <family val="2"/>
          </rPr>
          <t>Berit:
1 m3 killustikku kaalub auto kastis ca 1,3-1,8 t</t>
        </r>
      </text>
    </comment>
    <comment ref="B150" authorId="0">
      <text>
        <r>
          <rPr>
            <sz val="10"/>
            <rFont val="Arial"/>
            <family val="2"/>
          </rPr>
          <t xml:space="preserve">Berit:
täitmistööd, pinnasekate, filtermaterjal
</t>
        </r>
      </text>
    </comment>
    <comment ref="E150" authorId="0">
      <text>
        <r>
          <rPr>
            <sz val="10"/>
            <rFont val="Arial"/>
            <family val="2"/>
          </rPr>
          <t>Berit:
1 m3 killustikku kaalub auto kastis ca 1,3-1,8 t</t>
        </r>
      </text>
    </comment>
    <comment ref="B151" authorId="0">
      <text>
        <r>
          <rPr>
            <sz val="10"/>
            <rFont val="Arial"/>
            <family val="2"/>
          </rPr>
          <t>Berit:
haljastustöödeks</t>
        </r>
      </text>
    </comment>
    <comment ref="E151" authorId="0">
      <text>
        <r>
          <rPr>
            <sz val="10"/>
            <rFont val="Arial"/>
            <family val="2"/>
          </rPr>
          <t>Berit:
1 m3 mulda kaalub auto kastis ca 1,5 t</t>
        </r>
      </text>
    </comment>
    <comment ref="B152" authorId="0">
      <text>
        <r>
          <rPr>
            <sz val="10"/>
            <rFont val="Arial"/>
            <family val="2"/>
          </rPr>
          <t xml:space="preserve">Berit:
turbane kasvupind </t>
        </r>
      </text>
    </comment>
    <comment ref="E152" authorId="0">
      <text>
        <r>
          <rPr>
            <sz val="10"/>
            <rFont val="Arial"/>
            <family val="2"/>
          </rPr>
          <t xml:space="preserve">Berit:
1 m3 mulda kaalub auto kastis ca 1,5 t
</t>
        </r>
      </text>
    </comment>
    <comment ref="B153" authorId="0">
      <text>
        <r>
          <rPr>
            <sz val="10"/>
            <rFont val="Arial"/>
            <family val="2"/>
          </rPr>
          <t xml:space="preserve">Berit:
9 t kalluriga
</t>
        </r>
      </text>
    </comment>
    <comment ref="B154" authorId="0">
      <text>
        <r>
          <rPr>
            <sz val="10"/>
            <rFont val="Arial"/>
            <family val="2"/>
          </rPr>
          <t>Berit:
27 t kalluriga</t>
        </r>
      </text>
    </comment>
    <comment ref="E156" authorId="0">
      <text>
        <r>
          <rPr>
            <sz val="10"/>
            <rFont val="Arial"/>
            <family val="2"/>
          </rPr>
          <t>Berit:
andmed merkolt</t>
        </r>
      </text>
    </comment>
    <comment ref="B16" authorId="0">
      <text>
        <r>
          <rPr>
            <sz val="10"/>
            <rFont val="Arial"/>
            <family val="2"/>
          </rPr>
          <t>Nils Kändler:
Kaks pumpa, roostevabad torud, siibrid
Sagedusmuundurid, elekter, juhtimissüsteem</t>
        </r>
      </text>
    </comment>
    <comment ref="B17" authorId="0">
      <text>
        <r>
          <rPr>
            <sz val="10"/>
            <rFont val="Arial"/>
            <family val="2"/>
          </rPr>
          <t>Nils Kändler:
Kaks pumpa, roostevabad torud, siibrid
Sagedusmuundurid, elekter, juhtimissüsteem</t>
        </r>
      </text>
    </comment>
    <comment ref="B38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Plastkaev, luuk 40T, elektriühendus, juurdepääsutee, kaugjälgimise automaatika, veemõõtja, torustik AIS304, redel AISI304</t>
        </r>
      </text>
    </comment>
    <comment ref="B66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Täsikomplektne pumpla, eletriliitumine, juurdepääsutee, automaatika, kaugjälgimine (GPRS)</t>
        </r>
      </text>
    </comment>
    <comment ref="B67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Täsikomplektne pumpla, eletriliitumine, juurdepääsutee, automaatika, kaugjälgimine (GPRS)</t>
        </r>
      </text>
    </comment>
    <comment ref="B68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Täsikomplektne pumpla, eletriliitumine, juurdepääsutee, automaatika, kaugjälgimine (GPRS)</t>
        </r>
      </text>
    </comment>
    <comment ref="B82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Vajalik täpsustada kas GPRS?</t>
        </r>
      </text>
    </comment>
    <comment ref="E26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SystemTest 20tuhat koos sagedusmuunduritega</t>
        </r>
      </text>
    </comment>
    <comment ref="E82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System Test</t>
        </r>
      </text>
    </comment>
    <comment ref="E27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Kokku 60 tuhat, sh sagedusmuundurid ja elektrikilp</t>
        </r>
      </text>
    </comment>
    <comment ref="B112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Rest 40T, setteosa, ühendustorustik De200 kuni vaatluskaevuni (10m)</t>
        </r>
      </text>
    </comment>
    <comment ref="B86" authorId="0">
      <text>
        <r>
          <rPr>
            <sz val="10"/>
            <rFont val="Arial"/>
            <family val="2"/>
          </rPr>
          <t>Nils Kändler:
Asfalt- ja tsementbetoon
Mustkate</t>
        </r>
      </text>
    </comment>
    <comment ref="B87" authorId="0">
      <text>
        <r>
          <rPr>
            <sz val="10"/>
            <rFont val="Arial"/>
            <family val="2"/>
          </rPr>
          <t>Nils Kändler:
Asfalt- ja tsementbetoon
Mustkate</t>
        </r>
      </text>
    </comment>
    <comment ref="B100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Täsikomplektne pumpla, eletriliitumine, juurdepääsutee, automaatika, kaugjälgimine (GPRS)</t>
        </r>
      </text>
    </comment>
    <comment ref="B101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Täsikomplektne pumpla, eletriliitumine, juurdepääsutee, automaatika, kaugjälgimine (GPRS)</t>
        </r>
      </text>
    </comment>
    <comment ref="B102" authorId="1">
      <text>
        <r>
          <rPr>
            <b/>
            <sz val="9"/>
            <rFont val="Tahoma"/>
            <family val="2"/>
          </rPr>
          <t>Nils Kändler - INFRAGATE:</t>
        </r>
        <r>
          <rPr>
            <sz val="9"/>
            <rFont val="Tahoma"/>
            <family val="2"/>
          </rPr>
          <t xml:space="preserve">
Täsikomplektne pumpla, eletriliitumine, juurdepääsutee, automaatika, kaugjälgimine (GPRS)</t>
        </r>
      </text>
    </comment>
    <comment ref="B103" authorId="0">
      <text>
        <r>
          <rPr>
            <sz val="10"/>
            <rFont val="Arial"/>
            <family val="2"/>
          </rPr>
          <t>Nils Kändler:
Nt kahekambriline kuivasetusega pumpadega vm</t>
        </r>
      </text>
    </comment>
    <comment ref="B104" authorId="0">
      <text>
        <r>
          <rPr>
            <sz val="10"/>
            <rFont val="Arial"/>
            <family val="2"/>
          </rPr>
          <t>Nils Kändler:
Torustik maksimaalselt 1m kinnistupiirist kuni tänavatorustikuni. Sisaldab kontrollkaevu 200/160 ja otsakorki</t>
        </r>
      </text>
    </comment>
    <comment ref="B116" authorId="0">
      <text>
        <r>
          <rPr>
            <sz val="10"/>
            <rFont val="Arial"/>
            <family val="2"/>
          </rPr>
          <t>Nils Kändler:
Asfalt- ja tsementbetoon
Mustkate</t>
        </r>
      </text>
    </comment>
    <comment ref="B117" authorId="0">
      <text>
        <r>
          <rPr>
            <sz val="10"/>
            <rFont val="Arial"/>
            <family val="2"/>
          </rPr>
          <t>Nils Kändler:
Asfalt- ja tsementbetoon
Mustkate</t>
        </r>
      </text>
    </comment>
  </commentList>
</comments>
</file>

<file path=xl/sharedStrings.xml><?xml version="1.0" encoding="utf-8"?>
<sst xmlns="http://schemas.openxmlformats.org/spreadsheetml/2006/main" count="2434" uniqueCount="416">
  <si>
    <t>Projekti number</t>
  </si>
  <si>
    <t>erilahendusega reoveepumpla</t>
  </si>
  <si>
    <t>puurkaevu videouuring</t>
  </si>
  <si>
    <t>geotehnilised uuringud  - puuraugud</t>
  </si>
  <si>
    <t>Hind</t>
  </si>
  <si>
    <t xml:space="preserve">veo hind </t>
  </si>
  <si>
    <t>purgla mahuga 10m3</t>
  </si>
  <si>
    <t>muud reoveepuhasti seadmed/tööd</t>
  </si>
  <si>
    <t>ha</t>
  </si>
  <si>
    <t>biotiigi rekonstrueerimine</t>
  </si>
  <si>
    <t>106a</t>
  </si>
  <si>
    <t>puuraugu tamponeerimine</t>
  </si>
  <si>
    <t>kruusaveeris</t>
  </si>
  <si>
    <t>Kanalisatsioon KOKKU</t>
  </si>
  <si>
    <t>reoveepuhasti Q = 10-100 m3/d (Tüüp 2)</t>
  </si>
  <si>
    <t>De63-De110</t>
  </si>
  <si>
    <t>majaühendus</t>
  </si>
  <si>
    <t>reoveepuhasti Q&gt;100 m3/d (Tüüp 3)</t>
  </si>
  <si>
    <t>m3/h</t>
  </si>
  <si>
    <t>sõelumata kasvupinnas</t>
  </si>
  <si>
    <t>De400-De630</t>
  </si>
  <si>
    <t>maapealne soojustatud hüdrant</t>
  </si>
  <si>
    <t>De800-De1000</t>
  </si>
  <si>
    <t>Ühik</t>
  </si>
  <si>
    <t>De160-De315</t>
  </si>
  <si>
    <t>m</t>
  </si>
  <si>
    <t>t</t>
  </si>
  <si>
    <t>TV - uuringud (sh pesu &gt;DN300)</t>
  </si>
  <si>
    <t>reoveepuhasti Q&lt;10 m3/d (Tüüp 1)</t>
  </si>
  <si>
    <t>geodeetiline mõõdistamine</t>
  </si>
  <si>
    <t>Ühik-hinna kood</t>
  </si>
  <si>
    <t>tk</t>
  </si>
  <si>
    <t>KANALISATSIOON</t>
  </si>
  <si>
    <t>muu veevõrgu seade</t>
  </si>
  <si>
    <t>TV - uuringud (sh pesu &lt;DN300)</t>
  </si>
  <si>
    <t>Maksumus</t>
  </si>
  <si>
    <t>m2</t>
  </si>
  <si>
    <t>Kood</t>
  </si>
  <si>
    <t>m3</t>
  </si>
  <si>
    <t>asfaltkate</t>
  </si>
  <si>
    <t>tavaline liiv</t>
  </si>
  <si>
    <t>VEEVARUSTUS</t>
  </si>
  <si>
    <t>üheastmelise pumpla tehnoloogia</t>
  </si>
  <si>
    <t>sõelutud kasvupinnas</t>
  </si>
  <si>
    <t>puurkaevu puurimine</t>
  </si>
  <si>
    <t>Veevarustus KOKKU</t>
  </si>
  <si>
    <t>Baashind</t>
  </si>
  <si>
    <t>De630</t>
  </si>
  <si>
    <t>septik</t>
  </si>
  <si>
    <t>isevoolne kan.toru kruusateel, pinnaseteel või haljasalal</t>
  </si>
  <si>
    <t>Kogus</t>
  </si>
  <si>
    <t>De63-De160</t>
  </si>
  <si>
    <t>ie</t>
  </si>
  <si>
    <t>Investeeringute maksumused</t>
  </si>
  <si>
    <t>läbiviik jõe, maantee või raudtee alt</t>
  </si>
  <si>
    <t>torustike hüdropneumaatiline läbipesu</t>
  </si>
  <si>
    <t>betoonitööd</t>
  </si>
  <si>
    <t>De32-De110</t>
  </si>
  <si>
    <t>looduslik kruus</t>
  </si>
  <si>
    <t>kmpl</t>
  </si>
  <si>
    <t>108a</t>
  </si>
  <si>
    <t>Lühiajaline investeering kokku (koos lisakuludega 15%)</t>
  </si>
  <si>
    <t>Pikaajaline investeering kokku (koos lisakuludega 15%)</t>
  </si>
  <si>
    <t>hoone rekonstrueerimine</t>
  </si>
  <si>
    <t>Märkused</t>
  </si>
  <si>
    <t>109a</t>
  </si>
  <si>
    <t>Jrk nr</t>
  </si>
  <si>
    <t>Asula</t>
  </si>
  <si>
    <t>KOKKU</t>
  </si>
  <si>
    <t>EUR</t>
  </si>
  <si>
    <t>Baashind EUR</t>
  </si>
  <si>
    <t>Investeeringuprojektid on tähistatud projekti tüüpide alusel järgnevalt:</t>
  </si>
  <si>
    <t>Projekt A: Puurkaevpumplate rekonstrueerimine/rajamine/likvideerimine/veetöötlus;</t>
  </si>
  <si>
    <t>Projekt B: Veevõrgu rekonstrueerimine/rajamine;</t>
  </si>
  <si>
    <t>Projekt C: Kanalisatsioonivõrgu rekonstrueerimine/rajamine;</t>
  </si>
  <si>
    <t>Projekt D: Reoveepuhastite rekonstrueerimine/rajamine/likvideerimine;</t>
  </si>
  <si>
    <t>B-1.1 Veevõrgu rekonstrueerimine lühiajalises programmis</t>
  </si>
  <si>
    <t>B-1.2 Veevõrgu rekonstrueerimine pikaajalises programmis</t>
  </si>
  <si>
    <t>B-2.1 Veevõrgu rajamine lühiajalises programmis</t>
  </si>
  <si>
    <t>B-2.2 Veevõrgu rajamine pikaajalises programmis</t>
  </si>
  <si>
    <t>Toru, maakraan, otsakork</t>
  </si>
  <si>
    <t>Toru ja hülss</t>
  </si>
  <si>
    <t>B-2 Veevõrgu rajamine</t>
  </si>
  <si>
    <t>C-1.1 Kanalisatsioonivõrgu rekonstrueerimine lühiajalises programmis</t>
  </si>
  <si>
    <t>C-1.2 Kanalisatsioonivõrgu rekonstrueerimine pikaajalises programmis</t>
  </si>
  <si>
    <t>C-2.1 Kanalisatsioonivõrgu rajamine lühiajalises programmis</t>
  </si>
  <si>
    <t>C-2.2 Kanalisatsioonivõrgu rajamine pikaajalises programmis</t>
  </si>
  <si>
    <t>A-1 Puurkaevude (pumplate/veetöötluste) rekonstrueerimine</t>
  </si>
  <si>
    <t>Projekt E: Sademevee süsteemide rekonstrueerimine/rajamine</t>
  </si>
  <si>
    <t>A-1.1 Lühiajaline</t>
  </si>
  <si>
    <t>A-1.2 Pikaajaline</t>
  </si>
  <si>
    <t>A-2.1 Lühiajaline</t>
  </si>
  <si>
    <t>A-2.2 Pikaajaline</t>
  </si>
  <si>
    <t>D-1.1 Lühiajaline</t>
  </si>
  <si>
    <t>D-1.2 Pikaajaline</t>
  </si>
  <si>
    <t>D-2.1 Lühiajaline</t>
  </si>
  <si>
    <t>D-2.2 Pikaajaline</t>
  </si>
  <si>
    <t>E-1.1 Lühiajaline</t>
  </si>
  <si>
    <t>E-1.2 Pikaajaline</t>
  </si>
  <si>
    <t>E-2.1 Lühiajaline</t>
  </si>
  <si>
    <t>E-2.2 Pikaajaline</t>
  </si>
  <si>
    <r>
      <t xml:space="preserve">E-1. Rekonstrueerimine </t>
    </r>
    <r>
      <rPr>
        <sz val="10"/>
        <rFont val="Arial"/>
        <family val="2"/>
      </rPr>
      <t>(vana süsteemi ümberehitamine, parendamine)</t>
    </r>
  </si>
  <si>
    <r>
      <t xml:space="preserve">D-1. Rekonstrueerimine </t>
    </r>
    <r>
      <rPr>
        <sz val="10"/>
        <rFont val="Arial"/>
        <family val="2"/>
      </rPr>
      <t>(vana puhasti parendamine, laiendamine jms)</t>
    </r>
  </si>
  <si>
    <r>
      <t xml:space="preserve">D-2. Rajamine </t>
    </r>
    <r>
      <rPr>
        <sz val="10"/>
        <rFont val="Arial"/>
        <family val="2"/>
      </rPr>
      <t>(uus puhasti uude asukohta)</t>
    </r>
  </si>
  <si>
    <r>
      <t xml:space="preserve">C-1 Kanalisatsoonivõrgu rekonstrueerimine </t>
    </r>
    <r>
      <rPr>
        <sz val="10"/>
        <rFont val="Arial"/>
        <family val="2"/>
      </rPr>
      <t>(olemasoleva süsteemi asendamine)</t>
    </r>
  </si>
  <si>
    <r>
      <t>C-2 Kanalisatsioonivõrgu rajamine</t>
    </r>
    <r>
      <rPr>
        <sz val="10"/>
        <rFont val="Arial"/>
        <family val="2"/>
      </rPr>
      <t xml:space="preserve"> (laiendamine)</t>
    </r>
  </si>
  <si>
    <r>
      <t>B-1 Veevõrgu rekonstrueerimine</t>
    </r>
    <r>
      <rPr>
        <sz val="10"/>
        <rFont val="Arial"/>
        <family val="2"/>
      </rPr>
      <t xml:space="preserve"> (olemasoleva süsteemi asendamine)</t>
    </r>
  </si>
  <si>
    <r>
      <t xml:space="preserve">B-2 Veevõrgu rajamine </t>
    </r>
    <r>
      <rPr>
        <sz val="10"/>
        <rFont val="Arial"/>
        <family val="2"/>
      </rPr>
      <t>(laiendamine)</t>
    </r>
  </si>
  <si>
    <r>
      <t xml:space="preserve">A-2 Puurkaevude (pumplate/veetöötluste) rajamine </t>
    </r>
    <r>
      <rPr>
        <sz val="10"/>
        <rFont val="Arial"/>
        <family val="2"/>
      </rPr>
      <t>(uude asukohta)</t>
    </r>
  </si>
  <si>
    <r>
      <t xml:space="preserve">E-2. Rajamine </t>
    </r>
    <r>
      <rPr>
        <sz val="10"/>
        <rFont val="Arial"/>
        <family val="2"/>
      </rPr>
      <t>(uute valgalade väljaehitamine)</t>
    </r>
  </si>
  <si>
    <t>sademevee restkaev</t>
  </si>
  <si>
    <t>Liivapüüduriga kaev</t>
  </si>
  <si>
    <t>Projektijuhtimine ja omanikujärelevalve</t>
  </si>
  <si>
    <t>%</t>
  </si>
  <si>
    <t>projekti maksumusest</t>
  </si>
  <si>
    <t>Ettenägematud kulud</t>
  </si>
  <si>
    <t>Projekteerimine ja uuringud</t>
  </si>
  <si>
    <t>Invest. Programm (LA/PA)</t>
  </si>
  <si>
    <t>siibrite automaatjuhtimine</t>
  </si>
  <si>
    <t>Murukatte rajamine</t>
  </si>
  <si>
    <t xml:space="preserve">koos kasvupinnase 20 cm lisamisega </t>
  </si>
  <si>
    <t>h=1,73m, aed koos väravaga</t>
  </si>
  <si>
    <t>Ühekihiline asfalt, liiv ja killustikalus</t>
  </si>
  <si>
    <t>C-2 Kanalisatsioonivõrgu rajamine</t>
  </si>
  <si>
    <t>Seisuga 27.05.2014</t>
  </si>
  <si>
    <t>seadmed ja programmeerimine</t>
  </si>
  <si>
    <t>10L/s, alarm, ühendused</t>
  </si>
  <si>
    <t>reoveepuhasti</t>
  </si>
  <si>
    <t>veetöötlus</t>
  </si>
  <si>
    <t>PA</t>
  </si>
  <si>
    <t>LA</t>
  </si>
  <si>
    <t>E-1. Rekonstrueerimine (vana süsteemi ümberehitamine, parendamine)</t>
  </si>
  <si>
    <t>E-2. Rajamine (uute valgalade väljaehitamine)</t>
  </si>
  <si>
    <t>SADEMEVESI</t>
  </si>
  <si>
    <t>kraavi puhastamine</t>
  </si>
  <si>
    <t>106b</t>
  </si>
  <si>
    <t>106c</t>
  </si>
  <si>
    <t>hoone lammutamine</t>
  </si>
  <si>
    <t>105a</t>
  </si>
  <si>
    <t>105b</t>
  </si>
  <si>
    <t>105c</t>
  </si>
  <si>
    <t>105d</t>
  </si>
  <si>
    <t>107a</t>
  </si>
  <si>
    <t>107b</t>
  </si>
  <si>
    <t>107c</t>
  </si>
  <si>
    <t>108b</t>
  </si>
  <si>
    <t>Veevarustus</t>
  </si>
  <si>
    <t>Veevõrk</t>
  </si>
  <si>
    <t>Kanalisatsioonivõrk</t>
  </si>
  <si>
    <t>Reoveepuhastamine</t>
  </si>
  <si>
    <t>Sademeveevarustus</t>
  </si>
  <si>
    <t>109b</t>
  </si>
  <si>
    <t>301a</t>
  </si>
  <si>
    <t>302a</t>
  </si>
  <si>
    <t>301b</t>
  </si>
  <si>
    <t>301c</t>
  </si>
  <si>
    <t>301d</t>
  </si>
  <si>
    <t>302b</t>
  </si>
  <si>
    <t>302c</t>
  </si>
  <si>
    <t>302d</t>
  </si>
  <si>
    <t>303a</t>
  </si>
  <si>
    <t>303b</t>
  </si>
  <si>
    <t>303c</t>
  </si>
  <si>
    <t>201a</t>
  </si>
  <si>
    <t>201b</t>
  </si>
  <si>
    <t>303d</t>
  </si>
  <si>
    <t>501a</t>
  </si>
  <si>
    <t>501b</t>
  </si>
  <si>
    <t>501c</t>
  </si>
  <si>
    <t>501d</t>
  </si>
  <si>
    <t>502a</t>
  </si>
  <si>
    <t>502b</t>
  </si>
  <si>
    <t>502c</t>
  </si>
  <si>
    <t>502d</t>
  </si>
  <si>
    <t>505a</t>
  </si>
  <si>
    <t>505b</t>
  </si>
  <si>
    <t>503a</t>
  </si>
  <si>
    <t>503b</t>
  </si>
  <si>
    <t xml:space="preserve">isevoolne sademeveetoru kõvakattega alal </t>
  </si>
  <si>
    <t>isevoolne sademeveetoru kruusateel, pinnaseteel või haljasalal</t>
  </si>
  <si>
    <t>sademeveesurvetoru kõvakattega alal</t>
  </si>
  <si>
    <t>sademeveesurvetoru kruusateel, pinnaseteel või haljasalal</t>
  </si>
  <si>
    <t>erilahendusega  sademeveepumpla</t>
  </si>
  <si>
    <t>biotiigi rajamine</t>
  </si>
  <si>
    <t>Uuringud</t>
  </si>
  <si>
    <t>Katete taastamine, muud mahud</t>
  </si>
  <si>
    <t>hoone rajamine</t>
  </si>
  <si>
    <t>201c</t>
  </si>
  <si>
    <t xml:space="preserve">veetöötlus </t>
  </si>
  <si>
    <t>(&lt;20 m3/h)</t>
  </si>
  <si>
    <t>(&gt;20 m3/h)</t>
  </si>
  <si>
    <t>reservuaari rekonstrueerimine</t>
  </si>
  <si>
    <t>(201 + m3)</t>
  </si>
  <si>
    <t>(50-200 m3)</t>
  </si>
  <si>
    <t>reservuaari rajamine</t>
  </si>
  <si>
    <t>Üldehitustööd</t>
  </si>
  <si>
    <t>601a</t>
  </si>
  <si>
    <t>602a</t>
  </si>
  <si>
    <t>601b</t>
  </si>
  <si>
    <t>väikeplokk</t>
  </si>
  <si>
    <t>fiboplokk</t>
  </si>
  <si>
    <t>601c</t>
  </si>
  <si>
    <t>107d</t>
  </si>
  <si>
    <t>plast (50 - 200 m3)</t>
  </si>
  <si>
    <t>plast (201 + m3)</t>
  </si>
  <si>
    <t>betoon (50 - 200 m3)</t>
  </si>
  <si>
    <t>betoon (201 + m3)</t>
  </si>
  <si>
    <t>(raud)</t>
  </si>
  <si>
    <t>(raud+mangaan+efektiivdoos)</t>
  </si>
  <si>
    <t>(raud+mangaan)</t>
  </si>
  <si>
    <t>(raud+mangaan+ammoonium)</t>
  </si>
  <si>
    <t xml:space="preserve">teise astme pumpla tehnoloogia </t>
  </si>
  <si>
    <t>(20-40 m3/h)</t>
  </si>
  <si>
    <t>(&gt;40 m3/h)</t>
  </si>
  <si>
    <t>survetoru</t>
  </si>
  <si>
    <t>DN100 ühendus</t>
  </si>
  <si>
    <t>207a</t>
  </si>
  <si>
    <t>207b</t>
  </si>
  <si>
    <t>207c</t>
  </si>
  <si>
    <t>207d</t>
  </si>
  <si>
    <t>208a</t>
  </si>
  <si>
    <t>208b</t>
  </si>
  <si>
    <t>tuletõrjeveevõtu koha rajamine</t>
  </si>
  <si>
    <t>tuletõrjevee mahuti rajamine</t>
  </si>
  <si>
    <t>tuletõrjevee mahuti rekonstrueerimine</t>
  </si>
  <si>
    <t xml:space="preserve">plastikust siibri/veemõõtja kaev </t>
  </si>
  <si>
    <t>D1500mm</t>
  </si>
  <si>
    <t>isevoolne kan.toru</t>
  </si>
  <si>
    <t>kan.survetoru</t>
  </si>
  <si>
    <t xml:space="preserve">väike reoveepumpla </t>
  </si>
  <si>
    <t xml:space="preserve">keskmine reoveepumpla </t>
  </si>
  <si>
    <t>Qarv 5 - 20 l/s</t>
  </si>
  <si>
    <t>Qarv ≤ 5 l/s</t>
  </si>
  <si>
    <t xml:space="preserve">suur reoveepumpla </t>
  </si>
  <si>
    <t>Qarv ≥ 20 l/s</t>
  </si>
  <si>
    <t xml:space="preserve">reoveepumpla </t>
  </si>
  <si>
    <t>401a</t>
  </si>
  <si>
    <t>401b</t>
  </si>
  <si>
    <t>401c</t>
  </si>
  <si>
    <t>201d</t>
  </si>
  <si>
    <t>201e</t>
  </si>
  <si>
    <t>tuletõrjevee toru</t>
  </si>
  <si>
    <t>DN100</t>
  </si>
  <si>
    <t>301e</t>
  </si>
  <si>
    <t>301f</t>
  </si>
  <si>
    <t>301g</t>
  </si>
  <si>
    <t>301h</t>
  </si>
  <si>
    <t>501e</t>
  </si>
  <si>
    <t>501f</t>
  </si>
  <si>
    <t>501g</t>
  </si>
  <si>
    <t>501h</t>
  </si>
  <si>
    <t>sademeveesurvetoru</t>
  </si>
  <si>
    <t>väike sademeveepumpla</t>
  </si>
  <si>
    <t>503c</t>
  </si>
  <si>
    <t>503d</t>
  </si>
  <si>
    <t>piirdeaed</t>
  </si>
  <si>
    <t>604a</t>
  </si>
  <si>
    <t>604b</t>
  </si>
  <si>
    <t>sademeveepumpla</t>
  </si>
  <si>
    <t>keskmine  sademeveepumpla</t>
  </si>
  <si>
    <t>suur  sademeveepumpla</t>
  </si>
  <si>
    <t>truup</t>
  </si>
  <si>
    <t>kraav</t>
  </si>
  <si>
    <t xml:space="preserve">kraavi rajamine </t>
  </si>
  <si>
    <t>506a</t>
  </si>
  <si>
    <t>506b</t>
  </si>
  <si>
    <t>betoon</t>
  </si>
  <si>
    <t>plast</t>
  </si>
  <si>
    <t>isevoolne sademeveetoru</t>
  </si>
  <si>
    <t>??????????</t>
  </si>
  <si>
    <t>C-1 Kanalisatsioonivõrgu rekonstrueerimine</t>
  </si>
  <si>
    <r>
      <t>A-2 Puurkaevude (pumplate/veetöötluste) rajamine</t>
    </r>
    <r>
      <rPr>
        <sz val="9"/>
        <color indexed="8"/>
        <rFont val="Verdana"/>
        <family val="2"/>
      </rPr>
      <t xml:space="preserve"> </t>
    </r>
    <r>
      <rPr>
        <sz val="9"/>
        <rFont val="Verdana"/>
        <family val="2"/>
      </rPr>
      <t>(uude asukohta)</t>
    </r>
  </si>
  <si>
    <r>
      <t>B-1 Veevõrgu rekonstrueerimine</t>
    </r>
    <r>
      <rPr>
        <sz val="9"/>
        <color indexed="8"/>
        <rFont val="Verdana"/>
        <family val="2"/>
      </rPr>
      <t xml:space="preserve"> (olemasoleva süsteemi asendamine)</t>
    </r>
  </si>
  <si>
    <t>B-1.1 Lühiajaline</t>
  </si>
  <si>
    <t>B-2.1 Lühiajaline</t>
  </si>
  <si>
    <t>B-1.2 Pikaajaline</t>
  </si>
  <si>
    <t>B-2.2 Pikaajaline</t>
  </si>
  <si>
    <t>C-1.2 Pikaajaline</t>
  </si>
  <si>
    <t>C-2.2 Pikaajaline</t>
  </si>
  <si>
    <t>C-1.1  Lühiajaline</t>
  </si>
  <si>
    <t>C-2.1  Lühiajaline</t>
  </si>
  <si>
    <t>E-1.1  Lühiajaline</t>
  </si>
  <si>
    <t>sademevee liivapüüdur</t>
  </si>
  <si>
    <t>sademevee õlipüüdur</t>
  </si>
  <si>
    <t xml:space="preserve">rasvapüüdur </t>
  </si>
  <si>
    <t>kaugjälgimise ja -juhtimise süsteem</t>
  </si>
  <si>
    <t>tsingitud võrkpaneelidest aed</t>
  </si>
  <si>
    <r>
      <t xml:space="preserve">D-1. Rekonstrueerimine </t>
    </r>
    <r>
      <rPr>
        <sz val="9"/>
        <rFont val="Verdana"/>
        <family val="2"/>
      </rPr>
      <t>(vana puhasti parendamine, laiendamine jms)</t>
    </r>
  </si>
  <si>
    <r>
      <t>D-2. Rajamine</t>
    </r>
    <r>
      <rPr>
        <sz val="9"/>
        <rFont val="Verdana"/>
        <family val="2"/>
      </rPr>
      <t xml:space="preserve"> (uus puhasti uude asukohta)</t>
    </r>
  </si>
  <si>
    <t>Kontrollkaev De200, torustik ja otsakork</t>
  </si>
  <si>
    <t>203a</t>
  </si>
  <si>
    <t>hüdrant</t>
  </si>
  <si>
    <t>505c</t>
  </si>
  <si>
    <t>kraavi rekonstrueerimine</t>
  </si>
  <si>
    <t>510a</t>
  </si>
  <si>
    <t>510b</t>
  </si>
  <si>
    <t>510c</t>
  </si>
  <si>
    <t>510d</t>
  </si>
  <si>
    <t>510e</t>
  </si>
  <si>
    <t>510f</t>
  </si>
  <si>
    <t>510g</t>
  </si>
  <si>
    <t>510h</t>
  </si>
  <si>
    <t xml:space="preserve">drenaažitoru kõvakattega alal </t>
  </si>
  <si>
    <t>drenaažitoru kruusateel, pinnaseteel või haljasalal</t>
  </si>
  <si>
    <t>kraav ja truubid</t>
  </si>
  <si>
    <t>Sademevesi KOKKU</t>
  </si>
  <si>
    <t>reoveepumpla hoone lammutamine</t>
  </si>
  <si>
    <t>väikeblokk</t>
  </si>
  <si>
    <t>terviseriski uuring</t>
  </si>
  <si>
    <t>Sademevee uuringud, geodeetilised mõõdistused ja perspektiivskeem</t>
  </si>
  <si>
    <t>Hüdrauliline mudel</t>
  </si>
  <si>
    <t>Kohila RVP laiendamine</t>
  </si>
  <si>
    <t xml:space="preserve">kaldakaev </t>
  </si>
  <si>
    <t>De32-De160</t>
  </si>
  <si>
    <t>Pikaajaline investeeringuprogramm 2022 -2027 kokku</t>
  </si>
  <si>
    <t>Lühiajaline investeeringuprogramm 2018-2023</t>
  </si>
  <si>
    <t>Pikaajaline investeeringuprogramm 2024-2029</t>
  </si>
  <si>
    <t>VÕNNU ALEVIK</t>
  </si>
  <si>
    <t>KAAGVERE KÜLA</t>
  </si>
  <si>
    <t>MELLISTE KÜLA</t>
  </si>
  <si>
    <t>VÕÕPSTE KÜLA</t>
  </si>
  <si>
    <t>POKA KÜLA</t>
  </si>
  <si>
    <t>MÄKSA KÜLA</t>
  </si>
  <si>
    <t>ROIU ALEVIK</t>
  </si>
  <si>
    <t>PÄKSTE KÜLA</t>
  </si>
  <si>
    <t>IGNASE KÜLA</t>
  </si>
  <si>
    <t>AARDLA KÜLA</t>
  </si>
  <si>
    <t>KUREPALU KÜLA</t>
  </si>
  <si>
    <t xml:space="preserve">HAASLAVA JA AARDLAPALU KÜLADE ARENDUSPIIRKONNAD </t>
  </si>
  <si>
    <t>võrekaevu ja septiku paigaldamine biotiikide ette</t>
  </si>
  <si>
    <t>juurdepääsutee ja teenindusplatsi rajamine</t>
  </si>
  <si>
    <t>piirdeaia rajamine</t>
  </si>
  <si>
    <t>Keskuse puurkaevpumpla rekonstrueerimine</t>
  </si>
  <si>
    <t>Keskuse puurkaevpumpla hoone rekontrueerimine</t>
  </si>
  <si>
    <t>Veetöötlusseadmete rekonstrueerimine</t>
  </si>
  <si>
    <t>Likvideerimis- ja lammutustööd (sh olemasoleva tehnohoone lammutamine)</t>
  </si>
  <si>
    <t>Uue tehnohoone ehitamine</t>
  </si>
  <si>
    <t>Uue bioloogilise puhastuse r/b mahutite rajamine</t>
  </si>
  <si>
    <t>Reoveepuhasti tehnoloogiliste seadmed koos paigaldamisega</t>
  </si>
  <si>
    <t xml:space="preserve">Reoveepuhasti välistorustikud koos paigaldamisega </t>
  </si>
  <si>
    <t>Elektri- ja automaatikaseadmed koos paigaldusega (sh vajadusel liitumispunkti ümbertõstmine)</t>
  </si>
  <si>
    <t>Tehnohoone kütte- ja ventilatsiooniseadmed koos paigaldamisega</t>
  </si>
  <si>
    <t>Keevispaneelaia (sh üks värav laiusega 4 m) rajamine (tehnohoone ja rajatava puhasti ümber), H=1,7 m</t>
  </si>
  <si>
    <t>Okastraataia rajamine, H=1,6 m (biotiikide ümber)</t>
  </si>
  <si>
    <t>Haljastustööde teostamine</t>
  </si>
  <si>
    <t>Juurdepääsutee ja teenindusplatsi rajamine (freesasfalt)</t>
  </si>
  <si>
    <t>Biotiikide puhastamine settest, sh sette käitlus</t>
  </si>
  <si>
    <t>LÜ kokku</t>
  </si>
  <si>
    <t>PÜ kokku</t>
  </si>
  <si>
    <t xml:space="preserve">mehaanilise puhastuse seadme vahetamine </t>
  </si>
  <si>
    <t>survekanalisatsioonitoru</t>
  </si>
  <si>
    <t>veetoru</t>
  </si>
  <si>
    <t xml:space="preserve">isevoolne kan.toru </t>
  </si>
  <si>
    <t>LÜ</t>
  </si>
  <si>
    <t xml:space="preserve">PÜ </t>
  </si>
  <si>
    <t>PÜ</t>
  </si>
  <si>
    <t>ühtlustusmahuti (50m3)</t>
  </si>
  <si>
    <t>rauaärastus</t>
  </si>
  <si>
    <t>haljastuse taastamine</t>
  </si>
  <si>
    <t>tuletõrje veemahuti (108 m3)</t>
  </si>
  <si>
    <t>tuletõrje veemahuti</t>
  </si>
  <si>
    <t>kan.survetoru (sh Päkste-Roiu reoveepuhasti vaheline toru)</t>
  </si>
  <si>
    <t>reoveepumpla</t>
  </si>
  <si>
    <t>kuni 10 l/s</t>
  </si>
  <si>
    <t>Lühiajaline investeering kokku (koos lisakuludega 13,5%)</t>
  </si>
  <si>
    <t>reoveepumpla kuni 10 l/s</t>
  </si>
  <si>
    <t>reoveepumpla (reovee pumpamiseks Roiu reoveepuhastile)</t>
  </si>
  <si>
    <t>Alt 1</t>
  </si>
  <si>
    <t>Tööde nimetus</t>
  </si>
  <si>
    <t>Ühikhind</t>
  </si>
  <si>
    <t>Maksumus, €</t>
  </si>
  <si>
    <t>Ehitustööde maksumus kokku - abikõlblik</t>
  </si>
  <si>
    <t>Ehitustööde ettenägematu kulu (5%) - abikõlblik</t>
  </si>
  <si>
    <t>Teenused - abikõlblik</t>
  </si>
  <si>
    <t>Projektijuhtimine (2%)</t>
  </si>
  <si>
    <t>Projekteerimine (4%)</t>
  </si>
  <si>
    <t>Omanikujärelevalve (2,5%)</t>
  </si>
  <si>
    <t>Kogumaksumus koos ettenägematu kulu, projektijuhtimise, projekteerimise ja omanikujärelevalve kuluga - abikõlblik</t>
  </si>
  <si>
    <t>Alt 2</t>
  </si>
  <si>
    <t>Tehnohoone ehitamine</t>
  </si>
  <si>
    <t>Reoveepuhasti mehaanilise puhastuse seade koos paigaldamisega</t>
  </si>
  <si>
    <t>Reoveepuhasti välistorustikud koos paigaldamisega</t>
  </si>
  <si>
    <t xml:space="preserve">Elektri- ja automaatikaseadmed koos paigaldusega </t>
  </si>
  <si>
    <t>Võrehoone kütte- ja ventilatsiooniseadmed koos paigaldamisega</t>
  </si>
  <si>
    <t>Piirdeaia ja värava ehitus</t>
  </si>
  <si>
    <t>Ekspluatatsioonikulu liik</t>
  </si>
  <si>
    <t>Alternatiiv 1</t>
  </si>
  <si>
    <t>Alternatiiv 2</t>
  </si>
  <si>
    <t>Alternatiiv 3</t>
  </si>
  <si>
    <t>Kulu, EUR/aastas</t>
  </si>
  <si>
    <t>Amortisatsioonikulu kokku</t>
  </si>
  <si>
    <t>Hoonete ja ehitiste amortisatsioon (2,5%)</t>
  </si>
  <si>
    <t xml:space="preserve">Tehnoloogiliste seadmete amortisatsioon (6,7%) </t>
  </si>
  <si>
    <t>Elektri- ja automaatikaseadmete amortisatsioon (6,7%)</t>
  </si>
  <si>
    <t>Heitvee puhastuse otsekulud kokku</t>
  </si>
  <si>
    <r>
      <t>Elektrienergia otsekulu reovee puhastamisele (0,5 EUR/m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</si>
  <si>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r>
      <t>Elektrienergia reovee pumpamisel (0,3 EUR/m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</si>
  <si>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r>
      <t>Kemikaali kulu reovee puhastamisele (0,044 EUR/m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</si>
  <si>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r>
      <t>Tihendatud sette (3% KA) transport (kuni 20 km) ja käitlus (tahendamine, kompostimine) 12 EUR/m</t>
    </r>
    <r>
      <rPr>
        <vertAlign val="superscript"/>
        <sz val="8"/>
        <color indexed="8"/>
        <rFont val="Verdana"/>
        <family val="2"/>
      </rPr>
      <t>3</t>
    </r>
  </si>
  <si>
    <t>Ekspluatatsioonikulu kokku</t>
  </si>
  <si>
    <t>Alternatiiv</t>
  </si>
  <si>
    <t>Investeeringu maksumus</t>
  </si>
  <si>
    <t>Opereerimiskulu</t>
  </si>
  <si>
    <t>EUR/a</t>
  </si>
  <si>
    <t>NPV (10.a.)</t>
  </si>
  <si>
    <t>NPV (15.a.)</t>
  </si>
  <si>
    <t>NPV (30.a.)</t>
  </si>
  <si>
    <t>Rajamismaksumus, EUR</t>
  </si>
  <si>
    <t>Opereerimise kulu, EUR</t>
  </si>
  <si>
    <t>NV 10 aastat, EUR</t>
  </si>
  <si>
    <t>NV 15 aastat, EUR</t>
  </si>
  <si>
    <t>NV 30 aastat, EUR</t>
  </si>
  <si>
    <t>Survekanalisatsioonitoru (de160, reovee juhtimiseks Roiu kanalisatsioonivõrku)</t>
  </si>
  <si>
    <t>Reoveepumpla (reovee pumpamiseks Roiu kanalisatsioonivõrku)</t>
  </si>
  <si>
    <t>Kompaktpuhasti paigaldamine, 380 ie (sh vajalikud seadmed)</t>
  </si>
  <si>
    <t>Lühiajaline ja pikaajaline programm KOKKU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</si>
</sst>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\ \ "/>
    <numFmt numFmtId="173" formatCode="#,##0\ [$kr-41D]"/>
    <numFmt numFmtId="174" formatCode="#,##0\ _k_r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0.0"/>
    <numFmt numFmtId="181" formatCode="#,##0.0\ \ \ "/>
    <numFmt numFmtId="182" formatCode="#,##0.0\ \ "/>
    <numFmt numFmtId="183" formatCode="#,##0.00\ \ "/>
    <numFmt numFmtId="184" formatCode="#,##0\ \ "/>
    <numFmt numFmtId="185" formatCode="[$-425]d\.\ mmmm\ yyyy&quot;. a.&quot;"/>
    <numFmt numFmtId="186" formatCode="#,##0.0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name val="Arial"/>
      <family val="2"/>
    </font>
    <font>
      <sz val="9"/>
      <color indexed="48"/>
      <name val="Verdana"/>
      <family val="2"/>
    </font>
    <font>
      <b/>
      <sz val="8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9"/>
      <name val="Arial"/>
      <family val="2"/>
    </font>
    <font>
      <sz val="9"/>
      <color indexed="14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0066FF"/>
      <name val="Arial"/>
      <family val="2"/>
    </font>
    <font>
      <b/>
      <sz val="9"/>
      <color rgb="FF0000FF"/>
      <name val="Verdana"/>
      <family val="2"/>
    </font>
    <font>
      <sz val="9"/>
      <color rgb="FF0000FF"/>
      <name val="Verdana"/>
      <family val="2"/>
    </font>
    <font>
      <b/>
      <sz val="9"/>
      <color rgb="FF0066FF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3" applyNumberFormat="0" applyAlignment="0" applyProtection="0"/>
    <xf numFmtId="0" fontId="4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4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0" borderId="9" applyNumberFormat="0" applyAlignment="0" applyProtection="0"/>
    <xf numFmtId="0" fontId="56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3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9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 indent="3"/>
    </xf>
    <xf numFmtId="0" fontId="57" fillId="0" borderId="0" xfId="0" applyFont="1" applyAlignment="1">
      <alignment vertical="center"/>
    </xf>
    <xf numFmtId="3" fontId="58" fillId="0" borderId="0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3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33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NumberFormat="1" applyFont="1" applyFill="1" applyBorder="1" applyAlignment="1">
      <alignment horizontal="right" wrapText="1"/>
    </xf>
    <xf numFmtId="0" fontId="59" fillId="0" borderId="0" xfId="0" applyNumberFormat="1" applyFont="1" applyFill="1" applyBorder="1" applyAlignment="1">
      <alignment wrapText="1"/>
    </xf>
    <xf numFmtId="0" fontId="13" fillId="0" borderId="0" xfId="0" applyFont="1" applyAlignment="1">
      <alignment horizontal="left" vertical="center" indent="3"/>
    </xf>
    <xf numFmtId="0" fontId="59" fillId="0" borderId="0" xfId="0" applyNumberFormat="1" applyFont="1" applyFill="1" applyBorder="1" applyAlignment="1">
      <alignment horizontal="center" wrapText="1"/>
    </xf>
    <xf numFmtId="172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72" fontId="13" fillId="19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/>
    </xf>
    <xf numFmtId="0" fontId="10" fillId="34" borderId="1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center"/>
    </xf>
    <xf numFmtId="0" fontId="58" fillId="34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9" fontId="5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9" fontId="58" fillId="0" borderId="11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 wrapText="1"/>
    </xf>
    <xf numFmtId="0" fontId="59" fillId="0" borderId="11" xfId="0" applyNumberFormat="1" applyFont="1" applyFill="1" applyBorder="1" applyAlignment="1">
      <alignment horizontal="left"/>
    </xf>
    <xf numFmtId="0" fontId="61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 indent="3"/>
    </xf>
    <xf numFmtId="172" fontId="9" fillId="19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172" fontId="61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9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Alignment="1">
      <alignment vertical="center"/>
    </xf>
    <xf numFmtId="172" fontId="9" fillId="33" borderId="0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184" fontId="9" fillId="19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 vertical="center"/>
    </xf>
    <xf numFmtId="4" fontId="9" fillId="19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33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62" fillId="0" borderId="0" xfId="49" applyFont="1" applyBorder="1" applyAlignment="1">
      <alignment horizontal="center" vertical="center" wrapText="1"/>
      <protection/>
    </xf>
    <xf numFmtId="3" fontId="62" fillId="0" borderId="0" xfId="49" applyNumberFormat="1" applyFont="1" applyBorder="1" applyAlignment="1">
      <alignment horizontal="center" vertical="center" wrapText="1"/>
      <protection/>
    </xf>
    <xf numFmtId="0" fontId="62" fillId="0" borderId="0" xfId="49" applyFont="1" applyFill="1" applyBorder="1" applyAlignment="1">
      <alignment vertical="center" wrapText="1"/>
      <protection/>
    </xf>
    <xf numFmtId="4" fontId="13" fillId="0" borderId="0" xfId="0" applyNumberFormat="1" applyFont="1" applyFill="1" applyAlignment="1">
      <alignment horizontal="right" vertical="center"/>
    </xf>
    <xf numFmtId="4" fontId="6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3" fillId="33" borderId="11" xfId="0" applyFont="1" applyFill="1" applyBorder="1" applyAlignment="1">
      <alignment horizontal="justify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right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right" vertical="center" wrapText="1"/>
    </xf>
    <xf numFmtId="0" fontId="64" fillId="0" borderId="11" xfId="0" applyFont="1" applyBorder="1" applyAlignment="1">
      <alignment vertical="center" wrapText="1"/>
    </xf>
    <xf numFmtId="0" fontId="64" fillId="35" borderId="11" xfId="0" applyFont="1" applyFill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 wrapText="1"/>
    </xf>
    <xf numFmtId="4" fontId="64" fillId="0" borderId="11" xfId="0" applyNumberFormat="1" applyFont="1" applyBorder="1" applyAlignment="1">
      <alignment horizontal="right" vertical="center"/>
    </xf>
    <xf numFmtId="4" fontId="64" fillId="35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4" fontId="63" fillId="33" borderId="11" xfId="0" applyNumberFormat="1" applyFont="1" applyFill="1" applyBorder="1" applyAlignment="1">
      <alignment horizontal="right" vertical="center"/>
    </xf>
    <xf numFmtId="4" fontId="63" fillId="33" borderId="11" xfId="0" applyNumberFormat="1" applyFont="1" applyFill="1" applyBorder="1" applyAlignment="1">
      <alignment horizontal="right" vertical="center" wrapText="1"/>
    </xf>
    <xf numFmtId="0" fontId="64" fillId="35" borderId="11" xfId="0" applyFont="1" applyFill="1" applyBorder="1" applyAlignment="1">
      <alignment horizontal="justify" vertical="center" wrapText="1"/>
    </xf>
    <xf numFmtId="0" fontId="65" fillId="0" borderId="11" xfId="0" applyFont="1" applyBorder="1" applyAlignment="1">
      <alignment/>
    </xf>
    <xf numFmtId="0" fontId="63" fillId="33" borderId="11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4" fontId="63" fillId="0" borderId="11" xfId="0" applyNumberFormat="1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66" fillId="36" borderId="11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3" fontId="62" fillId="0" borderId="0" xfId="0" applyNumberFormat="1" applyFont="1" applyAlignment="1">
      <alignment/>
    </xf>
    <xf numFmtId="4" fontId="62" fillId="0" borderId="11" xfId="0" applyNumberFormat="1" applyFont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center" vertical="top" wrapText="1"/>
    </xf>
    <xf numFmtId="0" fontId="68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/>
    </xf>
    <xf numFmtId="3" fontId="66" fillId="37" borderId="0" xfId="0" applyNumberFormat="1" applyFont="1" applyFill="1" applyAlignment="1">
      <alignment/>
    </xf>
    <xf numFmtId="3" fontId="62" fillId="0" borderId="0" xfId="0" applyNumberFormat="1" applyFont="1" applyAlignment="1">
      <alignment horizontal="center"/>
    </xf>
    <xf numFmtId="0" fontId="69" fillId="33" borderId="11" xfId="0" applyFont="1" applyFill="1" applyBorder="1" applyAlignment="1">
      <alignment horizontal="justify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right" vertical="center" wrapText="1"/>
    </xf>
    <xf numFmtId="0" fontId="65" fillId="0" borderId="11" xfId="0" applyFont="1" applyBorder="1" applyAlignment="1">
      <alignment horizontal="justify" vertical="center" wrapText="1"/>
    </xf>
    <xf numFmtId="3" fontId="65" fillId="0" borderId="11" xfId="0" applyNumberFormat="1" applyFont="1" applyBorder="1" applyAlignment="1">
      <alignment horizontal="center" vertical="center" wrapText="1"/>
    </xf>
    <xf numFmtId="3" fontId="65" fillId="0" borderId="11" xfId="0" applyNumberFormat="1" applyFont="1" applyBorder="1" applyAlignment="1">
      <alignment horizontal="right" vertical="center" wrapText="1"/>
    </xf>
    <xf numFmtId="0" fontId="65" fillId="0" borderId="11" xfId="0" applyFont="1" applyBorder="1" applyAlignment="1">
      <alignment wrapText="1"/>
    </xf>
    <xf numFmtId="0" fontId="62" fillId="0" borderId="11" xfId="0" applyFont="1" applyBorder="1" applyAlignment="1">
      <alignment horizontal="justify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33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wrapText="1"/>
    </xf>
    <xf numFmtId="0" fontId="13" fillId="33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6" fillId="36" borderId="12" xfId="0" applyFont="1" applyFill="1" applyBorder="1" applyAlignment="1">
      <alignment horizontal="justify" vertical="top" wrapText="1"/>
    </xf>
    <xf numFmtId="0" fontId="66" fillId="36" borderId="13" xfId="0" applyFont="1" applyFill="1" applyBorder="1" applyAlignment="1">
      <alignment horizontal="justify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justify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17" fillId="38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3" fontId="39" fillId="0" borderId="11" xfId="0" applyNumberFormat="1" applyFont="1" applyFill="1" applyBorder="1" applyAlignment="1">
      <alignment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3" fontId="39" fillId="0" borderId="11" xfId="0" applyNumberFormat="1" applyFont="1" applyFill="1" applyBorder="1" applyAlignment="1">
      <alignment vertical="center"/>
    </xf>
    <xf numFmtId="4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4" fontId="17" fillId="0" borderId="11" xfId="0" applyNumberFormat="1" applyFont="1" applyBorder="1" applyAlignment="1">
      <alignment horizontal="center" vertical="center" wrapText="1"/>
    </xf>
    <xf numFmtId="9" fontId="39" fillId="0" borderId="0" xfId="0" applyNumberFormat="1" applyFont="1" applyAlignment="1">
      <alignment horizontal="center" vertical="center"/>
    </xf>
  </cellXfs>
  <cellStyles count="5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[0]" xfId="34"/>
    <cellStyle name="Currency[0]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allaad 2" xfId="48"/>
    <cellStyle name="Normaallaad 3" xfId="49"/>
    <cellStyle name="Normal 2" xfId="50"/>
    <cellStyle name="Normal 2 2" xfId="51"/>
    <cellStyle name="Normal 2 3" xfId="52"/>
    <cellStyle name="Normal 3" xfId="53"/>
    <cellStyle name="Normal 3 2" xfId="54"/>
    <cellStyle name="Pealkiri 1" xfId="55"/>
    <cellStyle name="Pealkiri 2" xfId="56"/>
    <cellStyle name="Pealkiri 3" xfId="57"/>
    <cellStyle name="Pealkiri 4" xfId="58"/>
    <cellStyle name="Percent" xfId="59"/>
    <cellStyle name="Rõhk1" xfId="60"/>
    <cellStyle name="Rõhk2" xfId="61"/>
    <cellStyle name="Rõhk3" xfId="62"/>
    <cellStyle name="Rõhk4" xfId="63"/>
    <cellStyle name="Rõhk5" xfId="64"/>
    <cellStyle name="Rõhk6" xfId="65"/>
    <cellStyle name="Selgitav tekst" xfId="66"/>
    <cellStyle name="Sisend" xfId="67"/>
    <cellStyle name="Currency" xfId="68"/>
    <cellStyle name="Currency [0]" xfId="69"/>
    <cellStyle name="Väljund" xfId="70"/>
    <cellStyle name="Üldpealkiri" xfId="71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FFCC99"/>
      <rgbColor rgb="00FFFFFF"/>
      <rgbColor rgb="00FF0000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ala_hanked1705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ähistus"/>
      <sheetName val="Uhikhinnad"/>
      <sheetName val="Vaakum_koond_väh"/>
      <sheetName val="Vaakum_koond"/>
      <sheetName val="Isevoolne_koond"/>
      <sheetName val="Isevoolne_koond_väh"/>
      <sheetName val="Vaakum1"/>
      <sheetName val="Vaakum2"/>
      <sheetName val="Vaakum3"/>
      <sheetName val="Isev1"/>
      <sheetName val="Isev2_Vilivere"/>
      <sheetName val="Hange4_VTJ"/>
      <sheetName val="Hange1_isev"/>
      <sheetName val="Hange2_isev"/>
      <sheetName val="Hange3_isev"/>
      <sheetName val="Hange5_isev"/>
      <sheetName val="Hange6_isev"/>
      <sheetName val="juurde_AEspa"/>
      <sheetName val="juurde_Vilivere"/>
      <sheetName val="ringistused"/>
      <sheetName val="KOK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8"/>
  <sheetViews>
    <sheetView zoomScale="90" zoomScaleNormal="90" zoomScalePageLayoutView="0" workbookViewId="0" topLeftCell="A1">
      <selection activeCell="B29" sqref="B29"/>
    </sheetView>
  </sheetViews>
  <sheetFormatPr defaultColWidth="9.140625" defaultRowHeight="12.75"/>
  <cols>
    <col min="2" max="2" width="81.7109375" style="0" customWidth="1"/>
  </cols>
  <sheetData>
    <row r="2" ht="12.75">
      <c r="B2" s="2" t="s">
        <v>71</v>
      </c>
    </row>
    <row r="3" ht="12.75">
      <c r="B3" s="2"/>
    </row>
    <row r="4" ht="12.75">
      <c r="B4" s="6" t="s">
        <v>72</v>
      </c>
    </row>
    <row r="5" ht="12.75">
      <c r="B5" s="3" t="s">
        <v>87</v>
      </c>
    </row>
    <row r="6" ht="12.75">
      <c r="B6" s="5" t="s">
        <v>89</v>
      </c>
    </row>
    <row r="7" ht="12.75">
      <c r="B7" s="5" t="s">
        <v>90</v>
      </c>
    </row>
    <row r="8" ht="12.75">
      <c r="B8" s="3" t="s">
        <v>108</v>
      </c>
    </row>
    <row r="9" ht="12.75">
      <c r="B9" s="5" t="s">
        <v>91</v>
      </c>
    </row>
    <row r="10" ht="12.75">
      <c r="B10" s="5" t="s">
        <v>92</v>
      </c>
    </row>
    <row r="11" ht="12.75">
      <c r="B11" s="6" t="s">
        <v>73</v>
      </c>
    </row>
    <row r="12" ht="12.75">
      <c r="B12" s="3" t="s">
        <v>106</v>
      </c>
    </row>
    <row r="13" ht="12.75">
      <c r="B13" s="1" t="s">
        <v>76</v>
      </c>
    </row>
    <row r="14" ht="12.75">
      <c r="B14" s="1" t="s">
        <v>77</v>
      </c>
    </row>
    <row r="15" ht="12.75">
      <c r="B15" s="3" t="s">
        <v>107</v>
      </c>
    </row>
    <row r="16" ht="12.75">
      <c r="B16" s="1" t="s">
        <v>78</v>
      </c>
    </row>
    <row r="17" ht="12.75">
      <c r="B17" s="1" t="s">
        <v>79</v>
      </c>
    </row>
    <row r="18" ht="12.75">
      <c r="B18" s="6" t="s">
        <v>74</v>
      </c>
    </row>
    <row r="19" ht="12.75">
      <c r="B19" s="3" t="s">
        <v>104</v>
      </c>
    </row>
    <row r="20" ht="12.75">
      <c r="B20" s="1" t="s">
        <v>83</v>
      </c>
    </row>
    <row r="21" ht="12.75">
      <c r="B21" s="1" t="s">
        <v>84</v>
      </c>
    </row>
    <row r="22" ht="12.75">
      <c r="B22" s="3" t="s">
        <v>105</v>
      </c>
    </row>
    <row r="23" ht="12.75">
      <c r="B23" s="1" t="s">
        <v>85</v>
      </c>
    </row>
    <row r="24" ht="12.75">
      <c r="B24" s="1" t="s">
        <v>86</v>
      </c>
    </row>
    <row r="25" ht="12.75">
      <c r="B25" s="6" t="s">
        <v>75</v>
      </c>
    </row>
    <row r="26" ht="12.75">
      <c r="B26" s="3" t="s">
        <v>102</v>
      </c>
    </row>
    <row r="27" ht="12.75">
      <c r="B27" s="5" t="s">
        <v>93</v>
      </c>
    </row>
    <row r="28" ht="12.75">
      <c r="B28" s="5" t="s">
        <v>94</v>
      </c>
    </row>
    <row r="29" ht="12.75">
      <c r="B29" s="3" t="s">
        <v>103</v>
      </c>
    </row>
    <row r="30" ht="12.75">
      <c r="B30" s="5" t="s">
        <v>95</v>
      </c>
    </row>
    <row r="31" ht="12.75">
      <c r="B31" s="5" t="s">
        <v>96</v>
      </c>
    </row>
    <row r="32" ht="12.75">
      <c r="B32" s="6" t="s">
        <v>88</v>
      </c>
    </row>
    <row r="33" ht="12.75">
      <c r="B33" s="3" t="s">
        <v>101</v>
      </c>
    </row>
    <row r="34" ht="12.75">
      <c r="B34" s="5" t="s">
        <v>97</v>
      </c>
    </row>
    <row r="35" ht="12.75">
      <c r="B35" s="5" t="s">
        <v>98</v>
      </c>
    </row>
    <row r="36" ht="12.75">
      <c r="B36" s="3" t="s">
        <v>109</v>
      </c>
    </row>
    <row r="37" ht="12.75">
      <c r="B37" s="5" t="s">
        <v>99</v>
      </c>
    </row>
    <row r="38" ht="12.75">
      <c r="B38" s="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="85" zoomScaleNormal="85" zoomScalePageLayoutView="0" workbookViewId="0" topLeftCell="B1">
      <selection activeCell="F82" sqref="F82"/>
    </sheetView>
  </sheetViews>
  <sheetFormatPr defaultColWidth="9.140625" defaultRowHeight="11.25" customHeight="1"/>
  <cols>
    <col min="1" max="1" width="5.8515625" style="96" hidden="1" customWidth="1"/>
    <col min="2" max="2" width="36.5742187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hidden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322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I4" s="106"/>
      <c r="J4" s="106"/>
      <c r="K4" s="106"/>
    </row>
    <row r="5" spans="1:11" ht="11.25">
      <c r="A5" s="7"/>
      <c r="B5" s="107" t="s">
        <v>72</v>
      </c>
      <c r="I5" s="106"/>
      <c r="J5" s="106"/>
      <c r="K5" s="106"/>
    </row>
    <row r="6" spans="1:11" ht="11.25">
      <c r="A6" s="7"/>
      <c r="B6" s="108" t="s">
        <v>87</v>
      </c>
      <c r="I6" s="106"/>
      <c r="J6" s="106"/>
      <c r="K6" s="106"/>
    </row>
    <row r="7" spans="1:11" ht="11.25">
      <c r="A7" s="7"/>
      <c r="B7" s="109" t="s">
        <v>89</v>
      </c>
      <c r="H7" s="142">
        <v>0</v>
      </c>
      <c r="I7" s="106"/>
      <c r="J7" s="106"/>
      <c r="K7" s="106"/>
    </row>
    <row r="8" spans="1:11" ht="11.25">
      <c r="A8" s="7"/>
      <c r="B8" s="109" t="s">
        <v>90</v>
      </c>
      <c r="H8" s="142">
        <v>0</v>
      </c>
      <c r="J8" s="106"/>
      <c r="K8" s="106"/>
    </row>
    <row r="9" spans="1:11" ht="11.25">
      <c r="A9" s="7"/>
      <c r="B9" s="108" t="s">
        <v>271</v>
      </c>
      <c r="H9" s="141"/>
      <c r="I9" s="106"/>
      <c r="J9" s="106"/>
      <c r="K9" s="106"/>
    </row>
    <row r="10" spans="1:11" ht="11.25">
      <c r="A10" s="7"/>
      <c r="B10" s="109" t="s">
        <v>91</v>
      </c>
      <c r="H10" s="142">
        <f>SUM(H11:H13)</f>
        <v>0</v>
      </c>
      <c r="I10" s="106"/>
      <c r="J10" s="106"/>
      <c r="K10" s="106"/>
    </row>
    <row r="11" spans="1:11" s="98" customFormat="1" ht="11.25" hidden="1">
      <c r="A11" s="110">
        <v>1009</v>
      </c>
      <c r="B11" s="111" t="s">
        <v>310</v>
      </c>
      <c r="C11" s="111"/>
      <c r="D11" s="112" t="s">
        <v>31</v>
      </c>
      <c r="E11" s="113"/>
      <c r="F11" s="112"/>
      <c r="G11" s="112"/>
      <c r="H11" s="143">
        <f>E11*F11+G11</f>
        <v>0</v>
      </c>
      <c r="I11" s="132"/>
      <c r="J11" s="115"/>
      <c r="K11" s="115"/>
    </row>
    <row r="12" spans="1:11" s="98" customFormat="1" ht="11.25" hidden="1">
      <c r="A12" s="110">
        <v>101</v>
      </c>
      <c r="B12" s="111" t="s">
        <v>44</v>
      </c>
      <c r="C12" s="111"/>
      <c r="D12" s="112" t="s">
        <v>25</v>
      </c>
      <c r="E12" s="113"/>
      <c r="F12" s="112"/>
      <c r="G12" s="112"/>
      <c r="H12" s="143">
        <f>E12*F12+G12</f>
        <v>0</v>
      </c>
      <c r="I12" s="115"/>
      <c r="J12" s="115"/>
      <c r="K12" s="115"/>
    </row>
    <row r="13" spans="1:11" s="98" customFormat="1" ht="11.25" hidden="1">
      <c r="A13" s="110">
        <v>101</v>
      </c>
      <c r="B13" s="111" t="s">
        <v>44</v>
      </c>
      <c r="C13" s="111"/>
      <c r="D13" s="112" t="s">
        <v>25</v>
      </c>
      <c r="E13" s="113"/>
      <c r="F13" s="112"/>
      <c r="G13" s="112"/>
      <c r="H13" s="143">
        <f>E13*F13+G13</f>
        <v>0</v>
      </c>
      <c r="I13" s="115"/>
      <c r="J13" s="115"/>
      <c r="K13" s="115"/>
    </row>
    <row r="14" spans="1:11" ht="11.25">
      <c r="A14" s="7"/>
      <c r="B14" s="109" t="s">
        <v>92</v>
      </c>
      <c r="H14" s="142">
        <f>SUM(H15:H15)</f>
        <v>0</v>
      </c>
      <c r="J14" s="106"/>
      <c r="K14" s="106"/>
    </row>
    <row r="15" spans="1:11" s="98" customFormat="1" ht="11.25">
      <c r="A15" s="110"/>
      <c r="B15" s="111"/>
      <c r="C15" s="111"/>
      <c r="D15" s="112"/>
      <c r="E15" s="113"/>
      <c r="F15" s="112"/>
      <c r="G15" s="112"/>
      <c r="H15" s="143"/>
      <c r="I15" s="115"/>
      <c r="J15" s="115"/>
      <c r="K15" s="115"/>
    </row>
    <row r="16" spans="1:11" ht="11.25">
      <c r="A16" s="7"/>
      <c r="B16" s="107" t="s">
        <v>73</v>
      </c>
      <c r="H16" s="141"/>
      <c r="J16" s="106"/>
      <c r="K16" s="106"/>
    </row>
    <row r="17" spans="1:8" ht="11.25">
      <c r="A17" s="110"/>
      <c r="B17" s="108" t="s">
        <v>272</v>
      </c>
      <c r="C17" s="116"/>
      <c r="D17" s="117"/>
      <c r="E17" s="118"/>
      <c r="F17" s="117"/>
      <c r="G17" s="117"/>
      <c r="H17" s="144"/>
    </row>
    <row r="18" spans="1:8" ht="11.25">
      <c r="A18" s="110"/>
      <c r="B18" s="109" t="s">
        <v>273</v>
      </c>
      <c r="C18" s="116"/>
      <c r="D18" s="117"/>
      <c r="E18" s="118"/>
      <c r="F18" s="117"/>
      <c r="G18" s="117"/>
      <c r="H18" s="142">
        <v>0</v>
      </c>
    </row>
    <row r="19" spans="1:8" ht="11.25">
      <c r="A19" s="110"/>
      <c r="B19" s="109" t="s">
        <v>275</v>
      </c>
      <c r="C19" s="120"/>
      <c r="D19" s="99"/>
      <c r="E19" s="102"/>
      <c r="F19" s="99"/>
      <c r="G19" s="99"/>
      <c r="H19" s="142">
        <v>0</v>
      </c>
    </row>
    <row r="20" spans="1:10" ht="11.25">
      <c r="A20" s="110"/>
      <c r="B20" s="108" t="s">
        <v>82</v>
      </c>
      <c r="C20" s="116"/>
      <c r="D20" s="117"/>
      <c r="E20" s="118"/>
      <c r="F20" s="117"/>
      <c r="G20" s="117"/>
      <c r="H20" s="144"/>
      <c r="J20" s="122"/>
    </row>
    <row r="21" spans="1:11" ht="11.25">
      <c r="A21" s="110"/>
      <c r="B21" s="109" t="s">
        <v>274</v>
      </c>
      <c r="C21" s="116"/>
      <c r="D21" s="117"/>
      <c r="E21" s="118"/>
      <c r="F21" s="117"/>
      <c r="G21" s="117"/>
      <c r="H21" s="142">
        <f>SUM(H22:H25)</f>
        <v>18000</v>
      </c>
      <c r="K21" s="106"/>
    </row>
    <row r="22" spans="1:11" s="98" customFormat="1" ht="11.25">
      <c r="A22" s="110" t="s">
        <v>163</v>
      </c>
      <c r="B22" s="111" t="s">
        <v>360</v>
      </c>
      <c r="C22" s="111"/>
      <c r="D22" s="112" t="s">
        <v>59</v>
      </c>
      <c r="E22" s="113">
        <v>1</v>
      </c>
      <c r="F22" s="112">
        <v>18000</v>
      </c>
      <c r="G22" s="112">
        <f>VLOOKUP(A22,Uhikhinnad!$A$6:$F$156,6,FALSE)</f>
        <v>0</v>
      </c>
      <c r="H22" s="143">
        <f>E22*F22+G22</f>
        <v>18000</v>
      </c>
      <c r="I22" s="115"/>
      <c r="J22" s="115"/>
      <c r="K22" s="115"/>
    </row>
    <row r="23" spans="1:11" s="98" customFormat="1" ht="11.25" hidden="1">
      <c r="A23" s="110">
        <v>202</v>
      </c>
      <c r="B23" s="111" t="s">
        <v>16</v>
      </c>
      <c r="C23" s="111" t="s">
        <v>80</v>
      </c>
      <c r="D23" s="112" t="s">
        <v>59</v>
      </c>
      <c r="E23" s="113"/>
      <c r="F23" s="112"/>
      <c r="G23" s="112"/>
      <c r="H23" s="143">
        <f>E23*F23+G23</f>
        <v>0</v>
      </c>
      <c r="I23" s="115"/>
      <c r="J23" s="115"/>
      <c r="K23" s="115"/>
    </row>
    <row r="24" spans="1:11" s="98" customFormat="1" ht="11.25" hidden="1">
      <c r="A24" s="110">
        <v>203</v>
      </c>
      <c r="B24" s="111" t="s">
        <v>291</v>
      </c>
      <c r="C24" s="111" t="s">
        <v>215</v>
      </c>
      <c r="D24" s="112" t="s">
        <v>31</v>
      </c>
      <c r="E24" s="102"/>
      <c r="F24" s="112"/>
      <c r="G24" s="112"/>
      <c r="H24" s="143">
        <f>E24*F24+G24</f>
        <v>0</v>
      </c>
      <c r="I24" s="115"/>
      <c r="J24" s="115"/>
      <c r="K24" s="115"/>
    </row>
    <row r="25" spans="1:11" s="98" customFormat="1" ht="11.25" hidden="1">
      <c r="A25" s="110"/>
      <c r="B25" s="111"/>
      <c r="C25" s="111"/>
      <c r="D25" s="112"/>
      <c r="E25" s="113"/>
      <c r="F25" s="112"/>
      <c r="G25" s="112"/>
      <c r="H25" s="143"/>
      <c r="I25" s="115"/>
      <c r="J25" s="115"/>
      <c r="K25" s="115"/>
    </row>
    <row r="26" spans="1:8" ht="11.25">
      <c r="A26" s="110"/>
      <c r="B26" s="109" t="s">
        <v>276</v>
      </c>
      <c r="C26" s="120"/>
      <c r="D26" s="99"/>
      <c r="E26" s="102"/>
      <c r="F26" s="99"/>
      <c r="G26" s="99"/>
      <c r="H26" s="142">
        <f>SUM(H27:H29)</f>
        <v>0</v>
      </c>
    </row>
    <row r="27" spans="1:11" s="98" customFormat="1" ht="11.25" hidden="1">
      <c r="A27" s="110"/>
      <c r="B27" s="111"/>
      <c r="C27" s="111"/>
      <c r="D27" s="112"/>
      <c r="E27" s="113"/>
      <c r="F27" s="112"/>
      <c r="G27" s="112"/>
      <c r="H27" s="143"/>
      <c r="I27" s="115"/>
      <c r="J27" s="115"/>
      <c r="K27" s="115"/>
    </row>
    <row r="28" spans="1:11" s="98" customFormat="1" ht="11.25" hidden="1">
      <c r="A28" s="110"/>
      <c r="B28" s="111"/>
      <c r="C28" s="111"/>
      <c r="D28" s="112"/>
      <c r="E28" s="113"/>
      <c r="F28" s="112"/>
      <c r="G28" s="112"/>
      <c r="H28" s="143"/>
      <c r="I28" s="115"/>
      <c r="J28" s="115"/>
      <c r="K28" s="115"/>
    </row>
    <row r="29" spans="1:11" s="98" customFormat="1" ht="11.25" hidden="1">
      <c r="A29" s="110"/>
      <c r="B29" s="111"/>
      <c r="C29" s="111"/>
      <c r="D29" s="112"/>
      <c r="E29" s="113"/>
      <c r="F29" s="112"/>
      <c r="G29" s="112"/>
      <c r="H29" s="143"/>
      <c r="I29" s="115"/>
      <c r="J29" s="115"/>
      <c r="K29" s="115"/>
    </row>
    <row r="30" spans="1:12" ht="11.25" customHeight="1">
      <c r="A30" s="110"/>
      <c r="B30" s="204" t="s">
        <v>61</v>
      </c>
      <c r="C30" s="204"/>
      <c r="D30" s="204"/>
      <c r="E30" s="204"/>
      <c r="F30" s="204"/>
      <c r="G30" s="204"/>
      <c r="H30" s="144">
        <f>SUM(H7,H10,H18,H21)*(1+15%)</f>
        <v>20700</v>
      </c>
      <c r="K30" s="122">
        <f>H10+H21+H41</f>
        <v>18000</v>
      </c>
      <c r="L30" s="121">
        <f>SUM(K30)*(1+Uhikhinnad!$E$161)</f>
        <v>20700</v>
      </c>
    </row>
    <row r="31" spans="1:12" ht="11.25" customHeight="1">
      <c r="A31" s="110"/>
      <c r="B31" s="204" t="s">
        <v>62</v>
      </c>
      <c r="C31" s="204"/>
      <c r="D31" s="204"/>
      <c r="E31" s="204"/>
      <c r="F31" s="204"/>
      <c r="G31" s="204"/>
      <c r="H31" s="144">
        <f>SUM(H8,H14,H19,H26)*(1+Uhikhinnad!$E$161)</f>
        <v>0</v>
      </c>
      <c r="K31" s="122">
        <v>13040000</v>
      </c>
      <c r="L31" s="121">
        <f>SUM(K31)*(1+Uhikhinnad!$E$161)</f>
        <v>14995999.999999998</v>
      </c>
    </row>
    <row r="32" spans="1:12" ht="11.25">
      <c r="A32" s="110"/>
      <c r="B32" s="205" t="s">
        <v>45</v>
      </c>
      <c r="C32" s="205"/>
      <c r="D32" s="205"/>
      <c r="E32" s="205"/>
      <c r="F32" s="205"/>
      <c r="G32" s="205"/>
      <c r="H32" s="145">
        <f>SUM(H30:H31)</f>
        <v>20700</v>
      </c>
      <c r="K32" s="122"/>
      <c r="L32" s="121"/>
    </row>
    <row r="33" spans="1:8" ht="11.25">
      <c r="A33" s="124"/>
      <c r="B33" s="105" t="s">
        <v>32</v>
      </c>
      <c r="C33" s="116"/>
      <c r="D33" s="117"/>
      <c r="E33" s="118"/>
      <c r="F33" s="117"/>
      <c r="G33" s="117"/>
      <c r="H33" s="125"/>
    </row>
    <row r="34" spans="1:8" ht="11.25">
      <c r="A34" s="124"/>
      <c r="B34" s="107" t="s">
        <v>74</v>
      </c>
      <c r="C34" s="116"/>
      <c r="D34" s="117"/>
      <c r="E34" s="118"/>
      <c r="F34" s="117"/>
      <c r="G34" s="117"/>
      <c r="H34" s="125"/>
    </row>
    <row r="35" spans="1:8" ht="11.25">
      <c r="A35" s="110"/>
      <c r="B35" s="105" t="s">
        <v>270</v>
      </c>
      <c r="C35" s="126"/>
      <c r="D35" s="112"/>
      <c r="E35" s="127"/>
      <c r="F35" s="126"/>
      <c r="G35" s="126"/>
      <c r="H35" s="119"/>
    </row>
    <row r="36" spans="1:8" ht="11.25">
      <c r="A36" s="110"/>
      <c r="B36" s="109" t="s">
        <v>279</v>
      </c>
      <c r="C36" s="128"/>
      <c r="D36" s="112"/>
      <c r="E36" s="127"/>
      <c r="F36" s="126"/>
      <c r="G36" s="126"/>
      <c r="H36" s="142">
        <f>SUM(H37:H38)</f>
        <v>53770</v>
      </c>
    </row>
    <row r="37" spans="1:8" ht="11.25">
      <c r="A37" s="110" t="s">
        <v>152</v>
      </c>
      <c r="B37" s="111" t="s">
        <v>227</v>
      </c>
      <c r="C37" s="111" t="s">
        <v>24</v>
      </c>
      <c r="D37" s="112" t="s">
        <v>25</v>
      </c>
      <c r="E37" s="113">
        <v>390</v>
      </c>
      <c r="F37" s="112">
        <v>135</v>
      </c>
      <c r="G37" s="112"/>
      <c r="H37" s="143">
        <f>E37*F37+G37</f>
        <v>52650</v>
      </c>
    </row>
    <row r="38" spans="1:8" ht="11.25">
      <c r="A38" s="110">
        <v>304</v>
      </c>
      <c r="B38" s="111" t="str">
        <f>VLOOKUP(A38,Uhikhinnad!$A$6:$F$156,2,FALSE)</f>
        <v>majaühendus</v>
      </c>
      <c r="C38" s="111" t="str">
        <f>VLOOKUP(A38,Uhikhinnad!$A$6:$F$156,3,FALSE)</f>
        <v>Kontrollkaev De200, torustik ja otsakork</v>
      </c>
      <c r="D38" s="112" t="str">
        <f>VLOOKUP(A38,Uhikhinnad!$A$6:$F$156,4,FALSE)</f>
        <v>kmpl</v>
      </c>
      <c r="E38" s="113">
        <v>4</v>
      </c>
      <c r="F38" s="112">
        <v>280</v>
      </c>
      <c r="G38" s="112">
        <f>VLOOKUP(A38,Uhikhinnad!$A$6:$F$156,6,FALSE)</f>
        <v>0</v>
      </c>
      <c r="H38" s="143">
        <f>E38*F38+G38</f>
        <v>1120</v>
      </c>
    </row>
    <row r="39" spans="1:9" ht="11.25" hidden="1">
      <c r="A39" s="110"/>
      <c r="B39" s="109" t="s">
        <v>277</v>
      </c>
      <c r="C39" s="128"/>
      <c r="D39" s="112"/>
      <c r="E39" s="127"/>
      <c r="F39" s="126"/>
      <c r="G39" s="126"/>
      <c r="H39" s="142">
        <v>0</v>
      </c>
      <c r="I39" s="106"/>
    </row>
    <row r="40" spans="1:8" ht="11.25" hidden="1">
      <c r="A40" s="110"/>
      <c r="B40" s="105" t="s">
        <v>123</v>
      </c>
      <c r="C40" s="126"/>
      <c r="D40" s="112"/>
      <c r="E40" s="127"/>
      <c r="F40" s="126"/>
      <c r="G40" s="126"/>
      <c r="H40" s="144"/>
    </row>
    <row r="41" spans="1:8" ht="11.25" hidden="1">
      <c r="A41" s="110"/>
      <c r="B41" s="109" t="s">
        <v>280</v>
      </c>
      <c r="C41" s="128"/>
      <c r="D41" s="112"/>
      <c r="E41" s="127"/>
      <c r="F41" s="126"/>
      <c r="G41" s="126"/>
      <c r="H41" s="142">
        <f>SUM(H42:H42)</f>
        <v>0</v>
      </c>
    </row>
    <row r="42" spans="1:8" ht="11.25" hidden="1">
      <c r="A42" s="110" t="s">
        <v>152</v>
      </c>
      <c r="B42" s="111" t="s">
        <v>227</v>
      </c>
      <c r="C42" s="111" t="s">
        <v>24</v>
      </c>
      <c r="D42" s="112" t="s">
        <v>25</v>
      </c>
      <c r="E42" s="113"/>
      <c r="F42" s="112"/>
      <c r="G42" s="112"/>
      <c r="H42" s="143">
        <f>E42*F42+G42</f>
        <v>0</v>
      </c>
    </row>
    <row r="43" spans="1:9" ht="11.25" hidden="1">
      <c r="A43" s="110"/>
      <c r="B43" s="109" t="s">
        <v>278</v>
      </c>
      <c r="C43" s="128"/>
      <c r="D43" s="112"/>
      <c r="E43" s="127"/>
      <c r="F43" s="126"/>
      <c r="G43" s="126"/>
      <c r="H43" s="142">
        <f>SUM(H44:H44)</f>
        <v>0</v>
      </c>
      <c r="I43" s="106"/>
    </row>
    <row r="44" spans="1:8" ht="11.25" hidden="1">
      <c r="A44" s="110"/>
      <c r="B44" s="111"/>
      <c r="C44" s="111"/>
      <c r="D44" s="112"/>
      <c r="E44" s="113"/>
      <c r="F44" s="112"/>
      <c r="G44" s="112"/>
      <c r="H44" s="143"/>
    </row>
    <row r="45" spans="1:8" ht="11.25" hidden="1">
      <c r="A45" s="124"/>
      <c r="B45" s="107" t="s">
        <v>75</v>
      </c>
      <c r="C45" s="116"/>
      <c r="D45" s="117"/>
      <c r="E45" s="118"/>
      <c r="F45" s="117"/>
      <c r="G45" s="117"/>
      <c r="H45" s="146"/>
    </row>
    <row r="46" spans="1:8" ht="11.25" hidden="1">
      <c r="A46" s="110"/>
      <c r="B46" s="105" t="s">
        <v>287</v>
      </c>
      <c r="C46" s="126"/>
      <c r="D46" s="112"/>
      <c r="E46" s="127"/>
      <c r="F46" s="126"/>
      <c r="G46" s="126"/>
      <c r="H46" s="144"/>
    </row>
    <row r="47" spans="1:8" ht="11.25" hidden="1">
      <c r="A47" s="110"/>
      <c r="B47" s="109" t="s">
        <v>93</v>
      </c>
      <c r="C47" s="128"/>
      <c r="D47" s="112"/>
      <c r="E47" s="127"/>
      <c r="F47" s="126"/>
      <c r="G47" s="126"/>
      <c r="H47" s="142">
        <v>0</v>
      </c>
    </row>
    <row r="48" spans="1:9" ht="11.25" hidden="1">
      <c r="A48" s="110"/>
      <c r="B48" s="109" t="s">
        <v>94</v>
      </c>
      <c r="C48" s="128"/>
      <c r="D48" s="112"/>
      <c r="E48" s="127"/>
      <c r="F48" s="126"/>
      <c r="G48" s="126"/>
      <c r="H48" s="142">
        <v>0</v>
      </c>
      <c r="I48" s="106"/>
    </row>
    <row r="49" spans="1:8" ht="11.25" hidden="1">
      <c r="A49" s="110"/>
      <c r="B49" s="105" t="s">
        <v>288</v>
      </c>
      <c r="C49" s="126"/>
      <c r="D49" s="112"/>
      <c r="E49" s="127"/>
      <c r="F49" s="126"/>
      <c r="G49" s="126"/>
      <c r="H49" s="144"/>
    </row>
    <row r="50" spans="1:8" ht="11.25" hidden="1">
      <c r="A50" s="110"/>
      <c r="B50" s="109" t="s">
        <v>95</v>
      </c>
      <c r="C50" s="128"/>
      <c r="D50" s="112"/>
      <c r="E50" s="127"/>
      <c r="F50" s="126"/>
      <c r="G50" s="126"/>
      <c r="H50" s="142">
        <v>0</v>
      </c>
    </row>
    <row r="51" spans="1:9" ht="11.25" hidden="1">
      <c r="A51" s="110"/>
      <c r="B51" s="109" t="s">
        <v>96</v>
      </c>
      <c r="C51" s="128"/>
      <c r="D51" s="112"/>
      <c r="E51" s="127"/>
      <c r="F51" s="126"/>
      <c r="G51" s="126"/>
      <c r="H51" s="142">
        <f>H52</f>
        <v>0</v>
      </c>
      <c r="I51" s="106"/>
    </row>
    <row r="52" spans="1:8" ht="11.25" hidden="1">
      <c r="A52" s="110"/>
      <c r="B52" s="111"/>
      <c r="C52" s="111"/>
      <c r="D52" s="112"/>
      <c r="E52" s="113"/>
      <c r="F52" s="112"/>
      <c r="G52" s="112"/>
      <c r="H52" s="143"/>
    </row>
    <row r="53" spans="1:10" ht="11.25" customHeight="1">
      <c r="A53" s="110"/>
      <c r="B53" s="204" t="s">
        <v>61</v>
      </c>
      <c r="C53" s="204"/>
      <c r="D53" s="204"/>
      <c r="E53" s="204"/>
      <c r="F53" s="204"/>
      <c r="G53" s="204"/>
      <c r="H53" s="144">
        <f>SUM(H36,H41,H47,H50)*(1+Uhikhinnad!$E$161)</f>
        <v>61835.49999999999</v>
      </c>
      <c r="J53" s="122"/>
    </row>
    <row r="54" spans="1:12" ht="11.25" customHeight="1">
      <c r="A54" s="110"/>
      <c r="B54" s="204" t="s">
        <v>62</v>
      </c>
      <c r="C54" s="204"/>
      <c r="D54" s="204"/>
      <c r="E54" s="204"/>
      <c r="F54" s="204"/>
      <c r="G54" s="204"/>
      <c r="H54" s="144">
        <f>SUM(H39,H43,H48,H51)*(1+Uhikhinnad!$E$161)</f>
        <v>0</v>
      </c>
      <c r="L54" s="122"/>
    </row>
    <row r="55" spans="1:12" ht="11.25">
      <c r="A55" s="129"/>
      <c r="B55" s="205" t="s">
        <v>13</v>
      </c>
      <c r="C55" s="205"/>
      <c r="D55" s="205"/>
      <c r="E55" s="205"/>
      <c r="F55" s="205"/>
      <c r="G55" s="205"/>
      <c r="H55" s="145">
        <f>SUM(H53:H54)</f>
        <v>61835.49999999999</v>
      </c>
      <c r="J55" s="122"/>
      <c r="L55" s="122"/>
    </row>
    <row r="56" spans="1:8" ht="11.25" hidden="1">
      <c r="A56" s="129"/>
      <c r="B56" s="105" t="s">
        <v>133</v>
      </c>
      <c r="C56" s="126"/>
      <c r="D56" s="126"/>
      <c r="E56" s="112"/>
      <c r="F56" s="126"/>
      <c r="G56" s="126"/>
      <c r="H56" s="130"/>
    </row>
    <row r="57" spans="1:8" ht="11.25" hidden="1">
      <c r="A57" s="129"/>
      <c r="B57" s="107" t="s">
        <v>88</v>
      </c>
      <c r="C57" s="126"/>
      <c r="D57" s="126"/>
      <c r="E57" s="112"/>
      <c r="F57" s="126"/>
      <c r="G57" s="126"/>
      <c r="H57" s="143"/>
    </row>
    <row r="58" spans="2:10" ht="11.25" customHeight="1" hidden="1">
      <c r="B58" s="105" t="s">
        <v>131</v>
      </c>
      <c r="C58" s="126"/>
      <c r="D58" s="126"/>
      <c r="E58" s="112"/>
      <c r="F58" s="126"/>
      <c r="G58" s="126"/>
      <c r="H58" s="143"/>
      <c r="J58" s="122"/>
    </row>
    <row r="59" spans="2:8" ht="11.25" customHeight="1" hidden="1">
      <c r="B59" s="109" t="s">
        <v>281</v>
      </c>
      <c r="C59" s="126"/>
      <c r="D59" s="126"/>
      <c r="E59" s="112"/>
      <c r="F59" s="126"/>
      <c r="G59" s="126"/>
      <c r="H59" s="142">
        <f>H60</f>
        <v>0</v>
      </c>
    </row>
    <row r="60" spans="1:8" s="98" customFormat="1" ht="11.25" hidden="1">
      <c r="A60" s="110">
        <v>1008</v>
      </c>
      <c r="B60" s="111" t="str">
        <f>VLOOKUP(A60,Uhikhinnad!$A$6:$F$156,2,FALSE)</f>
        <v>Sademevee uuringud, geodeetilised mõõdistused ja perspektiivskeem</v>
      </c>
      <c r="C60" s="111">
        <f>VLOOKUP(A60,Uhikhinnad!$A$6:$F$156,3,FALSE)</f>
        <v>0</v>
      </c>
      <c r="D60" s="112" t="str">
        <f>VLOOKUP(A60,Uhikhinnad!$A$6:$F$156,4,FALSE)</f>
        <v>tk</v>
      </c>
      <c r="E60" s="113"/>
      <c r="F60" s="112"/>
      <c r="G60" s="112">
        <f>VLOOKUP(A60,Uhikhinnad!$A$6:$F$156,6,FALSE)</f>
        <v>0</v>
      </c>
      <c r="H60" s="143">
        <f>E60*F60+G60</f>
        <v>0</v>
      </c>
    </row>
    <row r="61" spans="2:8" ht="11.25" customHeight="1" hidden="1">
      <c r="B61" s="109" t="s">
        <v>98</v>
      </c>
      <c r="C61" s="126"/>
      <c r="D61" s="126"/>
      <c r="E61" s="112"/>
      <c r="F61" s="126"/>
      <c r="G61" s="126"/>
      <c r="H61" s="142">
        <f>SUM(H62:H62)</f>
        <v>0</v>
      </c>
    </row>
    <row r="62" spans="1:8" s="98" customFormat="1" ht="11.25" hidden="1">
      <c r="A62" s="110" t="s">
        <v>292</v>
      </c>
      <c r="B62" s="111" t="str">
        <f>VLOOKUP(A62,Uhikhinnad!$A$6:$F$156,2,FALSE)</f>
        <v>kraavi rekonstrueerimine</v>
      </c>
      <c r="C62" s="111" t="str">
        <f>VLOOKUP(A62,Uhikhinnad!$A$6:$F$156,3,FALSE)</f>
        <v>kraav ja truubid</v>
      </c>
      <c r="D62" s="112" t="str">
        <f>VLOOKUP(A62,Uhikhinnad!$A$6:$F$156,4,FALSE)</f>
        <v>m</v>
      </c>
      <c r="E62" s="113"/>
      <c r="F62" s="112"/>
      <c r="G62" s="112">
        <f>VLOOKUP(A62,Uhikhinnad!$A$6:$F$156,6,FALSE)</f>
        <v>0</v>
      </c>
      <c r="H62" s="143">
        <f>E62*F62+G62</f>
        <v>0</v>
      </c>
    </row>
    <row r="63" spans="2:8" ht="11.25" customHeight="1" hidden="1">
      <c r="B63" s="105" t="s">
        <v>132</v>
      </c>
      <c r="H63" s="141"/>
    </row>
    <row r="64" spans="2:8" ht="11.25" customHeight="1" hidden="1">
      <c r="B64" s="109" t="s">
        <v>99</v>
      </c>
      <c r="H64" s="142">
        <v>0</v>
      </c>
    </row>
    <row r="65" spans="2:8" ht="11.25" customHeight="1" hidden="1">
      <c r="B65" s="109" t="s">
        <v>100</v>
      </c>
      <c r="H65" s="142">
        <v>0</v>
      </c>
    </row>
    <row r="66" spans="1:8" ht="11.25" customHeight="1" hidden="1">
      <c r="A66" s="110"/>
      <c r="B66" s="204" t="s">
        <v>61</v>
      </c>
      <c r="C66" s="204"/>
      <c r="D66" s="204"/>
      <c r="E66" s="204"/>
      <c r="F66" s="204"/>
      <c r="G66" s="204"/>
      <c r="H66" s="144">
        <f>SUM(H59,H64)*(1+11%)</f>
        <v>0</v>
      </c>
    </row>
    <row r="67" spans="1:12" ht="11.25" customHeight="1" hidden="1">
      <c r="A67" s="110"/>
      <c r="B67" s="204" t="s">
        <v>62</v>
      </c>
      <c r="C67" s="204"/>
      <c r="D67" s="204"/>
      <c r="E67" s="204"/>
      <c r="F67" s="204"/>
      <c r="G67" s="204"/>
      <c r="H67" s="144">
        <f>SUM(H61,H65)*(1+11%)</f>
        <v>0</v>
      </c>
      <c r="L67" s="122"/>
    </row>
    <row r="68" spans="1:12" ht="11.25" hidden="1">
      <c r="A68" s="129"/>
      <c r="B68" s="205" t="s">
        <v>305</v>
      </c>
      <c r="C68" s="205"/>
      <c r="D68" s="205"/>
      <c r="E68" s="205"/>
      <c r="F68" s="205"/>
      <c r="G68" s="205"/>
      <c r="H68" s="145">
        <f>SUM(H66:H67)</f>
        <v>0</v>
      </c>
      <c r="L68" s="122"/>
    </row>
    <row r="70" ht="11.25" customHeight="1" hidden="1"/>
    <row r="71" spans="7:8" ht="11.25" customHeight="1" hidden="1">
      <c r="G71" s="98" t="s">
        <v>353</v>
      </c>
      <c r="H71" s="97">
        <f>H30+H53+H66</f>
        <v>82535.5</v>
      </c>
    </row>
    <row r="72" spans="7:8" ht="11.25" customHeight="1" hidden="1">
      <c r="G72" s="98" t="s">
        <v>355</v>
      </c>
      <c r="H72" s="97">
        <f>H31+H54+H67</f>
        <v>0</v>
      </c>
    </row>
    <row r="73" spans="7:8" ht="11.25" customHeight="1" hidden="1">
      <c r="G73" s="98" t="s">
        <v>68</v>
      </c>
      <c r="H73" s="97">
        <f>H71+H72</f>
        <v>82535.5</v>
      </c>
    </row>
  </sheetData>
  <sheetProtection/>
  <mergeCells count="9">
    <mergeCell ref="B66:G66"/>
    <mergeCell ref="B67:G67"/>
    <mergeCell ref="B68:G68"/>
    <mergeCell ref="B30:G30"/>
    <mergeCell ref="B31:G31"/>
    <mergeCell ref="B32:G32"/>
    <mergeCell ref="B53:G53"/>
    <mergeCell ref="B54:G54"/>
    <mergeCell ref="B55:G55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="85" zoomScaleNormal="85" zoomScalePageLayoutView="0" workbookViewId="0" topLeftCell="B1">
      <selection activeCell="I92" sqref="I92"/>
    </sheetView>
  </sheetViews>
  <sheetFormatPr defaultColWidth="9.140625" defaultRowHeight="11.25" customHeight="1"/>
  <cols>
    <col min="1" max="1" width="11.28125" style="96" hidden="1" customWidth="1"/>
    <col min="2" max="2" width="36.5742187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bestFit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323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I4" s="106"/>
      <c r="J4" s="106"/>
      <c r="K4" s="106"/>
    </row>
    <row r="5" spans="1:11" ht="11.25">
      <c r="A5" s="7"/>
      <c r="B5" s="107" t="s">
        <v>72</v>
      </c>
      <c r="I5" s="106"/>
      <c r="J5" s="106"/>
      <c r="K5" s="106"/>
    </row>
    <row r="6" spans="1:11" ht="11.25">
      <c r="A6" s="7"/>
      <c r="B6" s="108" t="s">
        <v>87</v>
      </c>
      <c r="I6" s="106"/>
      <c r="J6" s="106"/>
      <c r="K6" s="106"/>
    </row>
    <row r="7" spans="1:11" ht="11.25">
      <c r="A7" s="7"/>
      <c r="B7" s="109" t="s">
        <v>89</v>
      </c>
      <c r="H7" s="95">
        <v>0</v>
      </c>
      <c r="I7" s="106"/>
      <c r="J7" s="106"/>
      <c r="K7" s="106"/>
    </row>
    <row r="8" spans="1:11" ht="11.25">
      <c r="A8" s="7"/>
      <c r="B8" s="109" t="s">
        <v>90</v>
      </c>
      <c r="H8" s="95">
        <v>0</v>
      </c>
      <c r="J8" s="106"/>
      <c r="K8" s="106"/>
    </row>
    <row r="9" spans="1:11" ht="11.25">
      <c r="A9" s="7"/>
      <c r="B9" s="108" t="s">
        <v>271</v>
      </c>
      <c r="I9" s="106"/>
      <c r="J9" s="106"/>
      <c r="K9" s="106"/>
    </row>
    <row r="10" spans="1:11" ht="11.25">
      <c r="A10" s="7"/>
      <c r="B10" s="109" t="s">
        <v>91</v>
      </c>
      <c r="H10" s="95">
        <f>SUM(H11:H14)</f>
        <v>0</v>
      </c>
      <c r="I10" s="106"/>
      <c r="J10" s="106"/>
      <c r="K10" s="106"/>
    </row>
    <row r="11" spans="1:11" s="98" customFormat="1" ht="11.25" hidden="1">
      <c r="A11" s="110">
        <v>101</v>
      </c>
      <c r="B11" s="111" t="s">
        <v>44</v>
      </c>
      <c r="C11" s="111"/>
      <c r="D11" s="112" t="s">
        <v>25</v>
      </c>
      <c r="E11" s="113"/>
      <c r="F11" s="112">
        <v>220</v>
      </c>
      <c r="G11" s="112">
        <v>0</v>
      </c>
      <c r="H11" s="114">
        <f>E11*F11+G11</f>
        <v>0</v>
      </c>
      <c r="I11" s="115"/>
      <c r="J11" s="115"/>
      <c r="K11" s="115"/>
    </row>
    <row r="12" spans="1:11" s="98" customFormat="1" ht="11.25" hidden="1">
      <c r="A12" s="110">
        <v>101</v>
      </c>
      <c r="B12" s="111" t="s">
        <v>44</v>
      </c>
      <c r="C12" s="111"/>
      <c r="D12" s="112" t="s">
        <v>25</v>
      </c>
      <c r="E12" s="113"/>
      <c r="F12" s="112">
        <v>220</v>
      </c>
      <c r="G12" s="112">
        <v>0</v>
      </c>
      <c r="H12" s="114">
        <f>E12*F12+G12</f>
        <v>0</v>
      </c>
      <c r="I12" s="115"/>
      <c r="J12" s="115"/>
      <c r="K12" s="115"/>
    </row>
    <row r="13" spans="1:11" s="98" customFormat="1" ht="11.25" hidden="1">
      <c r="A13" s="110">
        <v>101</v>
      </c>
      <c r="B13" s="111" t="s">
        <v>44</v>
      </c>
      <c r="C13" s="111"/>
      <c r="D13" s="112" t="s">
        <v>25</v>
      </c>
      <c r="E13" s="113"/>
      <c r="F13" s="112">
        <v>220</v>
      </c>
      <c r="G13" s="112">
        <v>0</v>
      </c>
      <c r="H13" s="114">
        <f>E13*F13+G13</f>
        <v>0</v>
      </c>
      <c r="I13" s="115"/>
      <c r="J13" s="115"/>
      <c r="K13" s="115"/>
    </row>
    <row r="14" spans="1:11" s="98" customFormat="1" ht="11.25" hidden="1">
      <c r="A14" s="110">
        <v>104</v>
      </c>
      <c r="B14" s="111" t="s">
        <v>42</v>
      </c>
      <c r="C14" s="111"/>
      <c r="D14" s="112" t="s">
        <v>59</v>
      </c>
      <c r="E14" s="113"/>
      <c r="F14" s="112">
        <v>31800</v>
      </c>
      <c r="G14" s="112">
        <v>0</v>
      </c>
      <c r="H14" s="114">
        <f>E14*F14+G14</f>
        <v>0</v>
      </c>
      <c r="I14" s="115"/>
      <c r="J14" s="115"/>
      <c r="K14" s="115"/>
    </row>
    <row r="15" spans="1:11" ht="11.25">
      <c r="A15" s="7"/>
      <c r="B15" s="109" t="s">
        <v>92</v>
      </c>
      <c r="H15" s="95">
        <f>SUM(H16:H16)</f>
        <v>0</v>
      </c>
      <c r="J15" s="106"/>
      <c r="K15" s="106"/>
    </row>
    <row r="16" spans="1:11" s="98" customFormat="1" ht="11.25" hidden="1">
      <c r="A16" s="110"/>
      <c r="B16" s="111"/>
      <c r="C16" s="111"/>
      <c r="D16" s="112"/>
      <c r="E16" s="113"/>
      <c r="F16" s="112"/>
      <c r="G16" s="112"/>
      <c r="H16" s="114"/>
      <c r="I16" s="115"/>
      <c r="J16" s="115"/>
      <c r="K16" s="115"/>
    </row>
    <row r="17" spans="1:11" ht="11.25">
      <c r="A17" s="7"/>
      <c r="B17" s="107" t="s">
        <v>73</v>
      </c>
      <c r="J17" s="106"/>
      <c r="K17" s="106"/>
    </row>
    <row r="18" spans="1:8" ht="11.25">
      <c r="A18" s="110"/>
      <c r="B18" s="108" t="s">
        <v>272</v>
      </c>
      <c r="C18" s="116"/>
      <c r="D18" s="117"/>
      <c r="E18" s="118"/>
      <c r="F18" s="117"/>
      <c r="G18" s="117"/>
      <c r="H18" s="119"/>
    </row>
    <row r="19" spans="1:8" ht="11.25">
      <c r="A19" s="110"/>
      <c r="B19" s="109" t="s">
        <v>273</v>
      </c>
      <c r="C19" s="116"/>
      <c r="D19" s="117"/>
      <c r="E19" s="118"/>
      <c r="F19" s="117"/>
      <c r="G19" s="117"/>
      <c r="H19" s="95">
        <v>0</v>
      </c>
    </row>
    <row r="20" spans="1:8" ht="11.25">
      <c r="A20" s="110"/>
      <c r="B20" s="109" t="s">
        <v>275</v>
      </c>
      <c r="C20" s="120"/>
      <c r="D20" s="99"/>
      <c r="E20" s="102"/>
      <c r="F20" s="99"/>
      <c r="G20" s="99"/>
      <c r="H20" s="95">
        <v>0</v>
      </c>
    </row>
    <row r="21" spans="1:10" ht="11.25">
      <c r="A21" s="110"/>
      <c r="B21" s="108" t="s">
        <v>82</v>
      </c>
      <c r="C21" s="116"/>
      <c r="D21" s="117"/>
      <c r="E21" s="118"/>
      <c r="F21" s="117"/>
      <c r="G21" s="117"/>
      <c r="H21" s="119"/>
      <c r="J21" s="122"/>
    </row>
    <row r="22" spans="1:11" ht="11.25">
      <c r="A22" s="110"/>
      <c r="B22" s="109" t="s">
        <v>274</v>
      </c>
      <c r="C22" s="116"/>
      <c r="D22" s="117"/>
      <c r="E22" s="118"/>
      <c r="F22" s="117"/>
      <c r="G22" s="117"/>
      <c r="H22" s="95">
        <f>SUM(H23:H26)</f>
        <v>0</v>
      </c>
      <c r="K22" s="106"/>
    </row>
    <row r="23" spans="1:11" s="98" customFormat="1" ht="11.25" hidden="1">
      <c r="A23" s="110" t="s">
        <v>163</v>
      </c>
      <c r="B23" s="111" t="s">
        <v>214</v>
      </c>
      <c r="C23" s="111" t="s">
        <v>313</v>
      </c>
      <c r="D23" s="112" t="s">
        <v>25</v>
      </c>
      <c r="E23" s="113"/>
      <c r="F23" s="112">
        <v>65</v>
      </c>
      <c r="G23" s="112"/>
      <c r="H23" s="114">
        <f>E23*F23+G23</f>
        <v>0</v>
      </c>
      <c r="I23" s="115"/>
      <c r="J23" s="115"/>
      <c r="K23" s="115"/>
    </row>
    <row r="24" spans="1:11" s="98" customFormat="1" ht="11.25" hidden="1">
      <c r="A24" s="110">
        <v>202</v>
      </c>
      <c r="B24" s="111" t="s">
        <v>16</v>
      </c>
      <c r="C24" s="111" t="s">
        <v>80</v>
      </c>
      <c r="D24" s="112" t="s">
        <v>59</v>
      </c>
      <c r="E24" s="113"/>
      <c r="F24" s="112">
        <v>280</v>
      </c>
      <c r="G24" s="112"/>
      <c r="H24" s="114">
        <f>E24*F24+G24</f>
        <v>0</v>
      </c>
      <c r="I24" s="115"/>
      <c r="J24" s="115"/>
      <c r="K24" s="115"/>
    </row>
    <row r="25" spans="1:11" s="98" customFormat="1" ht="11.25" hidden="1">
      <c r="A25" s="110">
        <v>203</v>
      </c>
      <c r="B25" s="111" t="s">
        <v>291</v>
      </c>
      <c r="C25" s="111" t="s">
        <v>215</v>
      </c>
      <c r="D25" s="112" t="s">
        <v>31</v>
      </c>
      <c r="E25" s="102"/>
      <c r="F25" s="112">
        <v>1500</v>
      </c>
      <c r="G25" s="112"/>
      <c r="H25" s="114">
        <f>E25*F25+G25</f>
        <v>0</v>
      </c>
      <c r="I25" s="115"/>
      <c r="J25" s="115"/>
      <c r="K25" s="115"/>
    </row>
    <row r="26" spans="1:11" s="98" customFormat="1" ht="11.25" hidden="1">
      <c r="A26" s="110"/>
      <c r="B26" s="111"/>
      <c r="C26" s="111"/>
      <c r="D26" s="112"/>
      <c r="E26" s="113"/>
      <c r="F26" s="112"/>
      <c r="G26" s="112"/>
      <c r="H26" s="114"/>
      <c r="I26" s="115"/>
      <c r="J26" s="115"/>
      <c r="K26" s="115"/>
    </row>
    <row r="27" spans="1:8" ht="11.25">
      <c r="A27" s="110"/>
      <c r="B27" s="109" t="s">
        <v>276</v>
      </c>
      <c r="C27" s="120"/>
      <c r="D27" s="99"/>
      <c r="E27" s="102"/>
      <c r="F27" s="99"/>
      <c r="G27" s="99"/>
      <c r="H27" s="95">
        <f>SUM(H28:H30)</f>
        <v>0</v>
      </c>
    </row>
    <row r="28" spans="1:11" s="98" customFormat="1" ht="11.25" hidden="1">
      <c r="A28" s="110"/>
      <c r="B28" s="111"/>
      <c r="C28" s="111"/>
      <c r="D28" s="112"/>
      <c r="E28" s="113"/>
      <c r="F28" s="112"/>
      <c r="G28" s="112"/>
      <c r="H28" s="114"/>
      <c r="I28" s="115"/>
      <c r="J28" s="115"/>
      <c r="K28" s="115"/>
    </row>
    <row r="29" spans="1:11" s="98" customFormat="1" ht="11.25" hidden="1">
      <c r="A29" s="110"/>
      <c r="B29" s="111"/>
      <c r="C29" s="111"/>
      <c r="D29" s="112"/>
      <c r="E29" s="113"/>
      <c r="F29" s="112"/>
      <c r="G29" s="112"/>
      <c r="H29" s="114"/>
      <c r="I29" s="115"/>
      <c r="J29" s="115"/>
      <c r="K29" s="115"/>
    </row>
    <row r="30" spans="1:11" s="98" customFormat="1" ht="11.25" hidden="1">
      <c r="A30" s="110"/>
      <c r="B30" s="111"/>
      <c r="C30" s="111"/>
      <c r="D30" s="112"/>
      <c r="E30" s="113"/>
      <c r="F30" s="112"/>
      <c r="G30" s="112"/>
      <c r="H30" s="114"/>
      <c r="I30" s="115"/>
      <c r="J30" s="115"/>
      <c r="K30" s="115"/>
    </row>
    <row r="31" spans="1:12" ht="11.25" customHeight="1">
      <c r="A31" s="110"/>
      <c r="B31" s="204" t="s">
        <v>61</v>
      </c>
      <c r="C31" s="204"/>
      <c r="D31" s="204"/>
      <c r="E31" s="204"/>
      <c r="F31" s="204"/>
      <c r="G31" s="204"/>
      <c r="H31" s="121">
        <f>SUM(H7,H10,H19,H22)*(1+11%)</f>
        <v>0</v>
      </c>
      <c r="K31" s="122">
        <f>H10+H22+H40</f>
        <v>0</v>
      </c>
      <c r="L31" s="121">
        <f>SUM(K31)*(1+Uhikhinnad!$E$161)</f>
        <v>0</v>
      </c>
    </row>
    <row r="32" spans="1:12" ht="11.25" customHeight="1">
      <c r="A32" s="110"/>
      <c r="B32" s="204" t="s">
        <v>62</v>
      </c>
      <c r="C32" s="204"/>
      <c r="D32" s="204"/>
      <c r="E32" s="204"/>
      <c r="F32" s="204"/>
      <c r="G32" s="204"/>
      <c r="H32" s="121">
        <f>SUM(H8,H15,H20,H27)*(1+Uhikhinnad!$E$161)</f>
        <v>0</v>
      </c>
      <c r="K32" s="122">
        <v>13040000</v>
      </c>
      <c r="L32" s="121">
        <f>SUM(K32)*(1+Uhikhinnad!$E$161)</f>
        <v>14995999.999999998</v>
      </c>
    </row>
    <row r="33" spans="1:12" ht="11.25">
      <c r="A33" s="110"/>
      <c r="B33" s="205" t="s">
        <v>45</v>
      </c>
      <c r="C33" s="205"/>
      <c r="D33" s="205"/>
      <c r="E33" s="205"/>
      <c r="F33" s="205"/>
      <c r="G33" s="205"/>
      <c r="H33" s="123">
        <f>SUM(H31:H32)</f>
        <v>0</v>
      </c>
      <c r="K33" s="122"/>
      <c r="L33" s="121"/>
    </row>
    <row r="34" spans="1:8" ht="11.25">
      <c r="A34" s="124"/>
      <c r="B34" s="105" t="s">
        <v>32</v>
      </c>
      <c r="C34" s="116"/>
      <c r="D34" s="117"/>
      <c r="E34" s="118"/>
      <c r="F34" s="117"/>
      <c r="G34" s="117"/>
      <c r="H34" s="125"/>
    </row>
    <row r="35" spans="1:8" ht="11.25">
      <c r="A35" s="124"/>
      <c r="B35" s="107" t="s">
        <v>74</v>
      </c>
      <c r="C35" s="116"/>
      <c r="D35" s="117"/>
      <c r="E35" s="118"/>
      <c r="F35" s="117"/>
      <c r="G35" s="117"/>
      <c r="H35" s="125"/>
    </row>
    <row r="36" spans="1:8" ht="11.25">
      <c r="A36" s="110"/>
      <c r="B36" s="105" t="s">
        <v>270</v>
      </c>
      <c r="C36" s="126"/>
      <c r="D36" s="112"/>
      <c r="E36" s="127"/>
      <c r="F36" s="126"/>
      <c r="G36" s="126"/>
      <c r="H36" s="119"/>
    </row>
    <row r="37" spans="1:8" ht="11.25">
      <c r="A37" s="110"/>
      <c r="B37" s="109" t="s">
        <v>279</v>
      </c>
      <c r="C37" s="128"/>
      <c r="D37" s="112"/>
      <c r="E37" s="127"/>
      <c r="F37" s="126"/>
      <c r="G37" s="126"/>
      <c r="H37" s="95">
        <v>0</v>
      </c>
    </row>
    <row r="38" spans="1:9" ht="11.25">
      <c r="A38" s="110"/>
      <c r="B38" s="109" t="s">
        <v>277</v>
      </c>
      <c r="C38" s="128"/>
      <c r="D38" s="112"/>
      <c r="E38" s="127"/>
      <c r="F38" s="126"/>
      <c r="G38" s="126"/>
      <c r="H38" s="95">
        <v>0</v>
      </c>
      <c r="I38" s="106"/>
    </row>
    <row r="39" spans="1:8" ht="11.25">
      <c r="A39" s="110"/>
      <c r="B39" s="105" t="s">
        <v>123</v>
      </c>
      <c r="C39" s="126"/>
      <c r="D39" s="112"/>
      <c r="E39" s="127"/>
      <c r="F39" s="126"/>
      <c r="G39" s="126"/>
      <c r="H39" s="119"/>
    </row>
    <row r="40" spans="1:8" ht="11.25">
      <c r="A40" s="110"/>
      <c r="B40" s="109" t="s">
        <v>280</v>
      </c>
      <c r="C40" s="128"/>
      <c r="D40" s="112"/>
      <c r="E40" s="127"/>
      <c r="F40" s="126"/>
      <c r="G40" s="126"/>
      <c r="H40" s="131">
        <f>SUM(H41:H45)</f>
        <v>0</v>
      </c>
    </row>
    <row r="41" spans="1:8" ht="11.25" hidden="1">
      <c r="A41" s="110" t="s">
        <v>152</v>
      </c>
      <c r="B41" s="111" t="s">
        <v>227</v>
      </c>
      <c r="C41" s="111" t="s">
        <v>24</v>
      </c>
      <c r="D41" s="112" t="s">
        <v>25</v>
      </c>
      <c r="E41" s="113"/>
      <c r="F41" s="112"/>
      <c r="G41" s="112"/>
      <c r="H41" s="114">
        <f>E41*F41+G41</f>
        <v>0</v>
      </c>
    </row>
    <row r="42" spans="1:8" ht="11.25" hidden="1">
      <c r="A42" s="110" t="s">
        <v>153</v>
      </c>
      <c r="B42" s="111" t="s">
        <v>228</v>
      </c>
      <c r="C42" s="111" t="s">
        <v>57</v>
      </c>
      <c r="D42" s="112" t="s">
        <v>25</v>
      </c>
      <c r="E42" s="113"/>
      <c r="F42" s="112"/>
      <c r="G42" s="112"/>
      <c r="H42" s="114">
        <f>E42*F42+G42</f>
        <v>0</v>
      </c>
    </row>
    <row r="43" spans="1:8" ht="11.25" hidden="1">
      <c r="A43" s="110" t="s">
        <v>157</v>
      </c>
      <c r="B43" s="111" t="s">
        <v>228</v>
      </c>
      <c r="C43" s="111" t="s">
        <v>24</v>
      </c>
      <c r="D43" s="112" t="s">
        <v>25</v>
      </c>
      <c r="E43" s="113"/>
      <c r="F43" s="112"/>
      <c r="G43" s="112"/>
      <c r="H43" s="114">
        <f>E43*F43+G43</f>
        <v>0</v>
      </c>
    </row>
    <row r="44" spans="1:8" ht="11.25" hidden="1">
      <c r="A44" s="110" t="s">
        <v>160</v>
      </c>
      <c r="B44" s="111" t="s">
        <v>229</v>
      </c>
      <c r="C44" s="111" t="s">
        <v>232</v>
      </c>
      <c r="D44" s="112" t="s">
        <v>59</v>
      </c>
      <c r="E44" s="113"/>
      <c r="F44" s="112"/>
      <c r="G44" s="112"/>
      <c r="H44" s="114">
        <f>E44*F44+G44</f>
        <v>0</v>
      </c>
    </row>
    <row r="45" spans="1:8" ht="11.25" hidden="1">
      <c r="A45" s="110" t="s">
        <v>161</v>
      </c>
      <c r="B45" s="111" t="s">
        <v>230</v>
      </c>
      <c r="C45" s="111" t="s">
        <v>231</v>
      </c>
      <c r="D45" s="112" t="s">
        <v>59</v>
      </c>
      <c r="E45" s="113"/>
      <c r="F45" s="112"/>
      <c r="G45" s="112"/>
      <c r="H45" s="114">
        <f>E45*F45+G45</f>
        <v>0</v>
      </c>
    </row>
    <row r="46" spans="1:9" ht="11.25">
      <c r="A46" s="110"/>
      <c r="B46" s="109" t="s">
        <v>278</v>
      </c>
      <c r="C46" s="128"/>
      <c r="D46" s="112"/>
      <c r="E46" s="127"/>
      <c r="F46" s="126"/>
      <c r="G46" s="126"/>
      <c r="H46" s="95">
        <f>SUM(H47:H47)</f>
        <v>0</v>
      </c>
      <c r="I46" s="106"/>
    </row>
    <row r="47" spans="1:8" ht="11.25" hidden="1">
      <c r="A47" s="110"/>
      <c r="B47" s="111"/>
      <c r="C47" s="111"/>
      <c r="D47" s="112"/>
      <c r="E47" s="113"/>
      <c r="F47" s="112"/>
      <c r="G47" s="112"/>
      <c r="H47" s="114"/>
    </row>
    <row r="48" spans="1:8" ht="11.25">
      <c r="A48" s="124"/>
      <c r="B48" s="107" t="s">
        <v>75</v>
      </c>
      <c r="C48" s="116"/>
      <c r="D48" s="117"/>
      <c r="E48" s="118"/>
      <c r="F48" s="117"/>
      <c r="G48" s="117"/>
      <c r="H48" s="125"/>
    </row>
    <row r="49" spans="1:8" ht="11.25">
      <c r="A49" s="110"/>
      <c r="B49" s="105" t="s">
        <v>287</v>
      </c>
      <c r="C49" s="126"/>
      <c r="D49" s="112"/>
      <c r="E49" s="127"/>
      <c r="F49" s="126"/>
      <c r="G49" s="126"/>
      <c r="H49" s="119"/>
    </row>
    <row r="50" spans="1:8" ht="11.25">
      <c r="A50" s="110"/>
      <c r="B50" s="109" t="s">
        <v>93</v>
      </c>
      <c r="C50" s="128"/>
      <c r="D50" s="112"/>
      <c r="E50" s="127"/>
      <c r="F50" s="126"/>
      <c r="G50" s="126"/>
      <c r="H50" s="95">
        <v>0</v>
      </c>
    </row>
    <row r="51" spans="1:9" ht="11.25">
      <c r="A51" s="110"/>
      <c r="B51" s="109" t="s">
        <v>94</v>
      </c>
      <c r="C51" s="128"/>
      <c r="D51" s="112"/>
      <c r="E51" s="127"/>
      <c r="F51" s="126"/>
      <c r="G51" s="126"/>
      <c r="H51" s="95">
        <v>0</v>
      </c>
      <c r="I51" s="106"/>
    </row>
    <row r="52" spans="1:8" ht="11.25">
      <c r="A52" s="110"/>
      <c r="B52" s="105" t="s">
        <v>288</v>
      </c>
      <c r="C52" s="126"/>
      <c r="D52" s="112"/>
      <c r="E52" s="127"/>
      <c r="F52" s="126"/>
      <c r="G52" s="126"/>
      <c r="H52" s="119"/>
    </row>
    <row r="53" spans="1:8" ht="11.25">
      <c r="A53" s="110"/>
      <c r="B53" s="109" t="s">
        <v>95</v>
      </c>
      <c r="C53" s="128"/>
      <c r="D53" s="112"/>
      <c r="E53" s="127"/>
      <c r="F53" s="126"/>
      <c r="G53" s="126"/>
      <c r="H53" s="95">
        <v>0</v>
      </c>
    </row>
    <row r="54" spans="1:9" ht="11.25">
      <c r="A54" s="110"/>
      <c r="B54" s="109" t="s">
        <v>96</v>
      </c>
      <c r="C54" s="128"/>
      <c r="D54" s="112"/>
      <c r="E54" s="127"/>
      <c r="F54" s="126"/>
      <c r="G54" s="126"/>
      <c r="H54" s="95">
        <f>H55</f>
        <v>0</v>
      </c>
      <c r="I54" s="106"/>
    </row>
    <row r="55" spans="1:8" ht="11.25" hidden="1">
      <c r="A55" s="110"/>
      <c r="B55" s="111"/>
      <c r="C55" s="111"/>
      <c r="D55" s="112"/>
      <c r="E55" s="113"/>
      <c r="F55" s="112"/>
      <c r="G55" s="112"/>
      <c r="H55" s="114"/>
    </row>
    <row r="56" spans="1:10" ht="11.25" customHeight="1">
      <c r="A56" s="110"/>
      <c r="B56" s="204" t="s">
        <v>61</v>
      </c>
      <c r="C56" s="204"/>
      <c r="D56" s="204"/>
      <c r="E56" s="204"/>
      <c r="F56" s="204"/>
      <c r="G56" s="204"/>
      <c r="H56" s="121">
        <f>SUM(H37,H40,H50,H53)*(1+11%)</f>
        <v>0</v>
      </c>
      <c r="J56" s="122"/>
    </row>
    <row r="57" spans="1:12" ht="11.25" customHeight="1">
      <c r="A57" s="110"/>
      <c r="B57" s="204" t="s">
        <v>62</v>
      </c>
      <c r="C57" s="204"/>
      <c r="D57" s="204"/>
      <c r="E57" s="204"/>
      <c r="F57" s="204"/>
      <c r="G57" s="204"/>
      <c r="H57" s="121">
        <f>SUM(H38,H46,H51,H54)*(1+Uhikhinnad!$E$161)</f>
        <v>0</v>
      </c>
      <c r="L57" s="122"/>
    </row>
    <row r="58" spans="1:12" ht="11.25">
      <c r="A58" s="129"/>
      <c r="B58" s="205" t="s">
        <v>13</v>
      </c>
      <c r="C58" s="205"/>
      <c r="D58" s="205"/>
      <c r="E58" s="205"/>
      <c r="F58" s="205"/>
      <c r="G58" s="205"/>
      <c r="H58" s="123">
        <f>SUM(H56:H57)</f>
        <v>0</v>
      </c>
      <c r="J58" s="122"/>
      <c r="L58" s="122"/>
    </row>
    <row r="59" spans="1:8" ht="11.25" hidden="1">
      <c r="A59" s="129"/>
      <c r="B59" s="105" t="s">
        <v>133</v>
      </c>
      <c r="C59" s="126"/>
      <c r="D59" s="126"/>
      <c r="E59" s="112"/>
      <c r="F59" s="126"/>
      <c r="G59" s="126"/>
      <c r="H59" s="130"/>
    </row>
    <row r="60" spans="1:8" ht="11.25" hidden="1">
      <c r="A60" s="129"/>
      <c r="B60" s="107" t="s">
        <v>88</v>
      </c>
      <c r="C60" s="126"/>
      <c r="D60" s="126"/>
      <c r="E60" s="112"/>
      <c r="F60" s="126"/>
      <c r="G60" s="126"/>
      <c r="H60" s="130"/>
    </row>
    <row r="61" spans="2:10" ht="11.25" customHeight="1" hidden="1">
      <c r="B61" s="105" t="s">
        <v>131</v>
      </c>
      <c r="C61" s="126"/>
      <c r="D61" s="126"/>
      <c r="E61" s="112"/>
      <c r="F61" s="126"/>
      <c r="G61" s="126"/>
      <c r="H61" s="130"/>
      <c r="J61" s="122"/>
    </row>
    <row r="62" spans="2:8" ht="11.25" customHeight="1" hidden="1">
      <c r="B62" s="109" t="s">
        <v>281</v>
      </c>
      <c r="C62" s="126"/>
      <c r="D62" s="126"/>
      <c r="E62" s="112"/>
      <c r="F62" s="126"/>
      <c r="G62" s="126"/>
      <c r="H62" s="95">
        <f>H63</f>
        <v>0</v>
      </c>
    </row>
    <row r="63" spans="1:8" s="98" customFormat="1" ht="11.25" hidden="1">
      <c r="A63" s="110">
        <v>1008</v>
      </c>
      <c r="B63" s="111" t="str">
        <f>VLOOKUP(A63,Uhikhinnad!$A$6:$F$156,2,FALSE)</f>
        <v>Sademevee uuringud, geodeetilised mõõdistused ja perspektiivskeem</v>
      </c>
      <c r="C63" s="111">
        <f>VLOOKUP(A63,Uhikhinnad!$A$6:$F$156,3,FALSE)</f>
        <v>0</v>
      </c>
      <c r="D63" s="112" t="str">
        <f>VLOOKUP(A63,Uhikhinnad!$A$6:$F$156,4,FALSE)</f>
        <v>tk</v>
      </c>
      <c r="E63" s="113"/>
      <c r="F63" s="112"/>
      <c r="G63" s="112">
        <f>VLOOKUP(A63,Uhikhinnad!$A$6:$F$156,6,FALSE)</f>
        <v>0</v>
      </c>
      <c r="H63" s="114">
        <f>E63*F63+G63</f>
        <v>0</v>
      </c>
    </row>
    <row r="64" spans="2:8" ht="11.25" customHeight="1" hidden="1">
      <c r="B64" s="109" t="s">
        <v>98</v>
      </c>
      <c r="C64" s="126"/>
      <c r="D64" s="126"/>
      <c r="E64" s="112"/>
      <c r="F64" s="126"/>
      <c r="G64" s="126"/>
      <c r="H64" s="95">
        <f>SUM(H65:H65)</f>
        <v>0</v>
      </c>
    </row>
    <row r="65" spans="1:8" s="98" customFormat="1" ht="11.25" hidden="1">
      <c r="A65" s="110" t="s">
        <v>292</v>
      </c>
      <c r="B65" s="111" t="str">
        <f>VLOOKUP(A65,Uhikhinnad!$A$6:$F$156,2,FALSE)</f>
        <v>kraavi rekonstrueerimine</v>
      </c>
      <c r="C65" s="111" t="str">
        <f>VLOOKUP(A65,Uhikhinnad!$A$6:$F$156,3,FALSE)</f>
        <v>kraav ja truubid</v>
      </c>
      <c r="D65" s="112" t="str">
        <f>VLOOKUP(A65,Uhikhinnad!$A$6:$F$156,4,FALSE)</f>
        <v>m</v>
      </c>
      <c r="E65" s="113"/>
      <c r="F65" s="112"/>
      <c r="G65" s="112">
        <f>VLOOKUP(A65,Uhikhinnad!$A$6:$F$156,6,FALSE)</f>
        <v>0</v>
      </c>
      <c r="H65" s="114">
        <f>E65*F65+G65</f>
        <v>0</v>
      </c>
    </row>
    <row r="66" ht="11.25" customHeight="1" hidden="1">
      <c r="B66" s="105" t="s">
        <v>132</v>
      </c>
    </row>
    <row r="67" spans="2:8" ht="11.25" customHeight="1" hidden="1">
      <c r="B67" s="109" t="s">
        <v>99</v>
      </c>
      <c r="H67" s="95">
        <v>0</v>
      </c>
    </row>
    <row r="68" spans="2:8" ht="11.25" customHeight="1" hidden="1">
      <c r="B68" s="109" t="s">
        <v>100</v>
      </c>
      <c r="H68" s="95">
        <v>0</v>
      </c>
    </row>
    <row r="69" spans="1:8" ht="11.25" customHeight="1" hidden="1">
      <c r="A69" s="110"/>
      <c r="B69" s="204" t="s">
        <v>61</v>
      </c>
      <c r="C69" s="204"/>
      <c r="D69" s="204"/>
      <c r="E69" s="204"/>
      <c r="F69" s="204"/>
      <c r="G69" s="204"/>
      <c r="H69" s="121">
        <f>SUM(H62,H67)*(1+11%)</f>
        <v>0</v>
      </c>
    </row>
    <row r="70" spans="1:12" ht="11.25" customHeight="1" hidden="1">
      <c r="A70" s="110"/>
      <c r="B70" s="204" t="s">
        <v>62</v>
      </c>
      <c r="C70" s="204"/>
      <c r="D70" s="204"/>
      <c r="E70" s="204"/>
      <c r="F70" s="204"/>
      <c r="G70" s="204"/>
      <c r="H70" s="121">
        <f>SUM(H64,H68)*(1+11%)</f>
        <v>0</v>
      </c>
      <c r="L70" s="122"/>
    </row>
    <row r="71" spans="1:12" ht="11.25" hidden="1">
      <c r="A71" s="129"/>
      <c r="B71" s="205" t="s">
        <v>305</v>
      </c>
      <c r="C71" s="205"/>
      <c r="D71" s="205"/>
      <c r="E71" s="205"/>
      <c r="F71" s="205"/>
      <c r="G71" s="205"/>
      <c r="H71" s="123">
        <f>SUM(H69:H70)</f>
        <v>0</v>
      </c>
      <c r="L71" s="122"/>
    </row>
    <row r="74" spans="7:8" ht="11.25" customHeight="1" hidden="1">
      <c r="G74" s="98" t="s">
        <v>353</v>
      </c>
      <c r="H74" s="97">
        <f>H31+H56+H69</f>
        <v>0</v>
      </c>
    </row>
    <row r="75" spans="7:8" ht="11.25" customHeight="1" hidden="1">
      <c r="G75" s="98" t="s">
        <v>355</v>
      </c>
      <c r="H75" s="97">
        <f>H32+H57+H70</f>
        <v>0</v>
      </c>
    </row>
    <row r="76" spans="7:8" ht="11.25" customHeight="1" hidden="1">
      <c r="G76" s="98" t="s">
        <v>68</v>
      </c>
      <c r="H76" s="97">
        <f>H74+H75</f>
        <v>0</v>
      </c>
    </row>
    <row r="77" ht="11.25" customHeight="1" hidden="1"/>
  </sheetData>
  <sheetProtection/>
  <mergeCells count="9">
    <mergeCell ref="B69:G69"/>
    <mergeCell ref="B70:G70"/>
    <mergeCell ref="B71:G71"/>
    <mergeCell ref="B31:G31"/>
    <mergeCell ref="B32:G32"/>
    <mergeCell ref="B33:G33"/>
    <mergeCell ref="B56:G56"/>
    <mergeCell ref="B57:G57"/>
    <mergeCell ref="B58:G58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85" zoomScaleNormal="85" zoomScalePageLayoutView="0" workbookViewId="0" topLeftCell="B1">
      <selection activeCell="I77" sqref="I77"/>
    </sheetView>
  </sheetViews>
  <sheetFormatPr defaultColWidth="9.140625" defaultRowHeight="11.25" customHeight="1"/>
  <cols>
    <col min="1" max="1" width="6.140625" style="96" hidden="1" customWidth="1"/>
    <col min="2" max="2" width="57.42187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hidden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324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I4" s="106"/>
      <c r="J4" s="106"/>
      <c r="K4" s="106"/>
    </row>
    <row r="5" spans="1:11" ht="11.25">
      <c r="A5" s="7"/>
      <c r="B5" s="107" t="s">
        <v>72</v>
      </c>
      <c r="H5" s="141"/>
      <c r="I5" s="106"/>
      <c r="J5" s="106"/>
      <c r="K5" s="106"/>
    </row>
    <row r="6" spans="1:11" ht="11.25">
      <c r="A6" s="7"/>
      <c r="B6" s="108" t="s">
        <v>87</v>
      </c>
      <c r="H6" s="141"/>
      <c r="I6" s="106"/>
      <c r="J6" s="106"/>
      <c r="K6" s="106"/>
    </row>
    <row r="7" spans="1:11" ht="11.25">
      <c r="A7" s="7"/>
      <c r="B7" s="109" t="s">
        <v>89</v>
      </c>
      <c r="H7" s="142">
        <v>0</v>
      </c>
      <c r="I7" s="106"/>
      <c r="J7" s="106"/>
      <c r="K7" s="106"/>
    </row>
    <row r="8" spans="1:11" ht="11.25">
      <c r="A8" s="7"/>
      <c r="B8" s="109" t="s">
        <v>90</v>
      </c>
      <c r="H8" s="142">
        <v>0</v>
      </c>
      <c r="J8" s="106"/>
      <c r="K8" s="106"/>
    </row>
    <row r="9" spans="1:11" ht="11.25">
      <c r="A9" s="7"/>
      <c r="B9" s="108" t="s">
        <v>271</v>
      </c>
      <c r="H9" s="141"/>
      <c r="I9" s="106"/>
      <c r="J9" s="106"/>
      <c r="K9" s="106"/>
    </row>
    <row r="10" spans="1:11" ht="11.25">
      <c r="A10" s="7"/>
      <c r="B10" s="109" t="s">
        <v>91</v>
      </c>
      <c r="H10" s="142">
        <f>SUM(H11:H12)</f>
        <v>0</v>
      </c>
      <c r="I10" s="106"/>
      <c r="J10" s="106"/>
      <c r="K10" s="106"/>
    </row>
    <row r="11" spans="1:11" s="98" customFormat="1" ht="11.25" hidden="1">
      <c r="A11" s="110" t="s">
        <v>256</v>
      </c>
      <c r="B11" s="111"/>
      <c r="C11" s="111"/>
      <c r="D11" s="112"/>
      <c r="E11" s="113"/>
      <c r="F11" s="112"/>
      <c r="G11" s="112"/>
      <c r="H11" s="143">
        <f>E11*F11+G11</f>
        <v>0</v>
      </c>
      <c r="I11" s="115"/>
      <c r="J11" s="115"/>
      <c r="K11" s="115"/>
    </row>
    <row r="12" spans="1:11" s="98" customFormat="1" ht="11.25" hidden="1">
      <c r="A12" s="110" t="s">
        <v>140</v>
      </c>
      <c r="B12" s="111"/>
      <c r="C12" s="111"/>
      <c r="D12" s="112"/>
      <c r="E12" s="113"/>
      <c r="F12" s="112"/>
      <c r="G12" s="112"/>
      <c r="H12" s="143">
        <f>E12*F12+G12</f>
        <v>0</v>
      </c>
      <c r="I12" s="115"/>
      <c r="J12" s="115"/>
      <c r="K12" s="115"/>
    </row>
    <row r="13" spans="1:11" ht="11.25">
      <c r="A13" s="7"/>
      <c r="B13" s="109" t="s">
        <v>92</v>
      </c>
      <c r="H13" s="142">
        <f>SUM(H14:H15)</f>
        <v>65000</v>
      </c>
      <c r="J13" s="106"/>
      <c r="K13" s="106"/>
    </row>
    <row r="14" spans="1:11" s="98" customFormat="1" ht="11.25">
      <c r="A14" s="111"/>
      <c r="B14" s="111" t="s">
        <v>211</v>
      </c>
      <c r="C14" s="111"/>
      <c r="D14" s="112" t="s">
        <v>59</v>
      </c>
      <c r="E14" s="113">
        <v>1</v>
      </c>
      <c r="F14" s="112">
        <v>50000</v>
      </c>
      <c r="G14" s="112"/>
      <c r="H14" s="143">
        <v>50000</v>
      </c>
      <c r="I14" s="115"/>
      <c r="J14" s="115"/>
      <c r="K14" s="115"/>
    </row>
    <row r="15" spans="1:11" s="98" customFormat="1" ht="11.25">
      <c r="A15" s="110"/>
      <c r="B15" s="111" t="s">
        <v>63</v>
      </c>
      <c r="C15" s="111"/>
      <c r="D15" s="112" t="s">
        <v>59</v>
      </c>
      <c r="E15" s="113">
        <v>1</v>
      </c>
      <c r="F15" s="112">
        <v>15000</v>
      </c>
      <c r="G15" s="112"/>
      <c r="H15" s="143">
        <f>F15*E15</f>
        <v>15000</v>
      </c>
      <c r="I15" s="115"/>
      <c r="J15" s="115"/>
      <c r="K15" s="115"/>
    </row>
    <row r="16" spans="1:11" ht="11.25">
      <c r="A16" s="7"/>
      <c r="B16" s="107" t="s">
        <v>73</v>
      </c>
      <c r="H16" s="141"/>
      <c r="J16" s="106"/>
      <c r="K16" s="106"/>
    </row>
    <row r="17" spans="1:8" ht="11.25">
      <c r="A17" s="110"/>
      <c r="B17" s="108" t="s">
        <v>272</v>
      </c>
      <c r="C17" s="116"/>
      <c r="D17" s="117"/>
      <c r="E17" s="118"/>
      <c r="F17" s="117"/>
      <c r="G17" s="117"/>
      <c r="H17" s="144"/>
    </row>
    <row r="18" spans="1:8" ht="11.25">
      <c r="A18" s="110"/>
      <c r="B18" s="109" t="s">
        <v>273</v>
      </c>
      <c r="C18" s="116"/>
      <c r="D18" s="117"/>
      <c r="E18" s="118"/>
      <c r="F18" s="117"/>
      <c r="G18" s="117"/>
      <c r="H18" s="142">
        <v>0</v>
      </c>
    </row>
    <row r="19" spans="1:8" ht="11.25">
      <c r="A19" s="110"/>
      <c r="B19" s="109" t="s">
        <v>275</v>
      </c>
      <c r="C19" s="120"/>
      <c r="D19" s="99"/>
      <c r="E19" s="102"/>
      <c r="F19" s="99"/>
      <c r="G19" s="99"/>
      <c r="H19" s="142">
        <v>0</v>
      </c>
    </row>
    <row r="20" spans="1:10" ht="11.25">
      <c r="A20" s="110"/>
      <c r="B20" s="108" t="s">
        <v>82</v>
      </c>
      <c r="C20" s="116"/>
      <c r="D20" s="117"/>
      <c r="E20" s="118"/>
      <c r="F20" s="117"/>
      <c r="G20" s="117"/>
      <c r="H20" s="144"/>
      <c r="J20" s="122"/>
    </row>
    <row r="21" spans="1:11" ht="11.25">
      <c r="A21" s="110"/>
      <c r="B21" s="109" t="s">
        <v>274</v>
      </c>
      <c r="C21" s="116"/>
      <c r="D21" s="117"/>
      <c r="E21" s="118"/>
      <c r="F21" s="117"/>
      <c r="G21" s="117"/>
      <c r="H21" s="142">
        <f>SUM(H22:H24)</f>
        <v>0</v>
      </c>
      <c r="K21" s="106"/>
    </row>
    <row r="22" spans="1:11" s="98" customFormat="1" ht="11.25" hidden="1">
      <c r="A22" s="110" t="s">
        <v>163</v>
      </c>
      <c r="B22" s="111"/>
      <c r="C22" s="111"/>
      <c r="D22" s="112"/>
      <c r="E22" s="113"/>
      <c r="F22" s="112"/>
      <c r="G22" s="112"/>
      <c r="H22" s="143"/>
      <c r="I22" s="115"/>
      <c r="J22" s="115"/>
      <c r="K22" s="115"/>
    </row>
    <row r="23" spans="1:11" s="98" customFormat="1" ht="11.25" hidden="1">
      <c r="A23" s="110">
        <v>202</v>
      </c>
      <c r="B23" s="111"/>
      <c r="C23" s="111"/>
      <c r="D23" s="112"/>
      <c r="E23" s="113"/>
      <c r="F23" s="112"/>
      <c r="G23" s="112"/>
      <c r="H23" s="143"/>
      <c r="I23" s="115"/>
      <c r="J23" s="115"/>
      <c r="K23" s="115"/>
    </row>
    <row r="24" spans="1:11" s="98" customFormat="1" ht="11.25" hidden="1">
      <c r="A24" s="110"/>
      <c r="B24" s="111"/>
      <c r="C24" s="111"/>
      <c r="D24" s="112"/>
      <c r="E24" s="113"/>
      <c r="F24" s="112"/>
      <c r="G24" s="112"/>
      <c r="H24" s="143"/>
      <c r="I24" s="115"/>
      <c r="J24" s="115"/>
      <c r="K24" s="115"/>
    </row>
    <row r="25" spans="1:8" ht="11.25">
      <c r="A25" s="110"/>
      <c r="B25" s="109" t="s">
        <v>276</v>
      </c>
      <c r="C25" s="120"/>
      <c r="D25" s="99"/>
      <c r="E25" s="102"/>
      <c r="F25" s="99"/>
      <c r="G25" s="99"/>
      <c r="H25" s="142">
        <f>SUM(H26:H27)</f>
        <v>191810</v>
      </c>
    </row>
    <row r="26" spans="1:11" s="98" customFormat="1" ht="11.25">
      <c r="A26" s="110" t="s">
        <v>163</v>
      </c>
      <c r="B26" s="111" t="s">
        <v>214</v>
      </c>
      <c r="C26" s="111" t="s">
        <v>313</v>
      </c>
      <c r="D26" s="112" t="s">
        <v>25</v>
      </c>
      <c r="E26" s="113">
        <v>2125</v>
      </c>
      <c r="F26" s="112">
        <v>90</v>
      </c>
      <c r="G26" s="112"/>
      <c r="H26" s="143">
        <f>E26*F26+G26</f>
        <v>191250</v>
      </c>
      <c r="I26" s="115"/>
      <c r="J26" s="115"/>
      <c r="K26" s="115"/>
    </row>
    <row r="27" spans="1:11" s="98" customFormat="1" ht="11.25">
      <c r="A27" s="110">
        <v>202</v>
      </c>
      <c r="B27" s="111" t="s">
        <v>16</v>
      </c>
      <c r="C27" s="111" t="s">
        <v>80</v>
      </c>
      <c r="D27" s="112" t="s">
        <v>59</v>
      </c>
      <c r="E27" s="113">
        <v>2</v>
      </c>
      <c r="F27" s="112">
        <v>280</v>
      </c>
      <c r="G27" s="112"/>
      <c r="H27" s="143">
        <f>E27*F27+G27</f>
        <v>560</v>
      </c>
      <c r="I27" s="115"/>
      <c r="J27" s="115"/>
      <c r="K27" s="115"/>
    </row>
    <row r="28" spans="1:11" s="98" customFormat="1" ht="11.25" hidden="1">
      <c r="A28" s="110"/>
      <c r="B28" s="111"/>
      <c r="C28" s="111"/>
      <c r="D28" s="112"/>
      <c r="E28" s="113"/>
      <c r="F28" s="112"/>
      <c r="G28" s="112"/>
      <c r="H28" s="143"/>
      <c r="I28" s="115"/>
      <c r="J28" s="115"/>
      <c r="K28" s="115"/>
    </row>
    <row r="29" spans="1:12" ht="11.25" customHeight="1">
      <c r="A29" s="110"/>
      <c r="B29" s="204" t="s">
        <v>61</v>
      </c>
      <c r="C29" s="204"/>
      <c r="D29" s="204"/>
      <c r="E29" s="204"/>
      <c r="F29" s="204"/>
      <c r="G29" s="204"/>
      <c r="H29" s="144">
        <f>SUM(H7,H10,H18,H21)*(1+Uhikhinnad!$E$161)</f>
        <v>0</v>
      </c>
      <c r="K29" s="122">
        <f>H10+H21+H38</f>
        <v>0</v>
      </c>
      <c r="L29" s="121">
        <f>SUM(K29)*(1+Uhikhinnad!$E$161)</f>
        <v>0</v>
      </c>
    </row>
    <row r="30" spans="1:12" ht="11.25" customHeight="1">
      <c r="A30" s="110"/>
      <c r="B30" s="204" t="s">
        <v>62</v>
      </c>
      <c r="C30" s="204"/>
      <c r="D30" s="204"/>
      <c r="E30" s="204"/>
      <c r="F30" s="204"/>
      <c r="G30" s="204"/>
      <c r="H30" s="144">
        <f>SUM(H8,H13,H19,H25)*(1+Uhikhinnad!$E$161)</f>
        <v>295331.5</v>
      </c>
      <c r="K30" s="122">
        <v>13040000</v>
      </c>
      <c r="L30" s="121">
        <f>SUM(K30)*(1+Uhikhinnad!$E$161)</f>
        <v>14995999.999999998</v>
      </c>
    </row>
    <row r="31" spans="1:12" ht="11.25">
      <c r="A31" s="110"/>
      <c r="B31" s="205" t="s">
        <v>45</v>
      </c>
      <c r="C31" s="205"/>
      <c r="D31" s="205"/>
      <c r="E31" s="205"/>
      <c r="F31" s="205"/>
      <c r="G31" s="205"/>
      <c r="H31" s="145">
        <f>SUM(H29:H30)</f>
        <v>295331.5</v>
      </c>
      <c r="K31" s="122"/>
      <c r="L31" s="121"/>
    </row>
    <row r="32" spans="1:8" ht="11.25">
      <c r="A32" s="124"/>
      <c r="B32" s="105" t="s">
        <v>32</v>
      </c>
      <c r="C32" s="116"/>
      <c r="D32" s="117"/>
      <c r="E32" s="118"/>
      <c r="F32" s="117"/>
      <c r="G32" s="117"/>
      <c r="H32" s="125"/>
    </row>
    <row r="33" spans="1:8" ht="11.25">
      <c r="A33" s="124"/>
      <c r="B33" s="107" t="s">
        <v>74</v>
      </c>
      <c r="C33" s="116"/>
      <c r="D33" s="117"/>
      <c r="E33" s="118"/>
      <c r="F33" s="117"/>
      <c r="G33" s="117"/>
      <c r="H33" s="125"/>
    </row>
    <row r="34" spans="1:8" ht="11.25">
      <c r="A34" s="110"/>
      <c r="B34" s="105" t="s">
        <v>270</v>
      </c>
      <c r="C34" s="126"/>
      <c r="D34" s="112"/>
      <c r="E34" s="127"/>
      <c r="F34" s="126"/>
      <c r="G34" s="126"/>
      <c r="H34" s="119"/>
    </row>
    <row r="35" spans="1:8" ht="11.25">
      <c r="A35" s="110"/>
      <c r="B35" s="109" t="s">
        <v>279</v>
      </c>
      <c r="C35" s="128"/>
      <c r="D35" s="112"/>
      <c r="E35" s="127"/>
      <c r="F35" s="126"/>
      <c r="G35" s="126"/>
      <c r="H35" s="142">
        <v>0</v>
      </c>
    </row>
    <row r="36" spans="1:9" ht="11.25">
      <c r="A36" s="110"/>
      <c r="B36" s="109" t="s">
        <v>277</v>
      </c>
      <c r="C36" s="128"/>
      <c r="D36" s="112"/>
      <c r="E36" s="127"/>
      <c r="F36" s="126"/>
      <c r="G36" s="126"/>
      <c r="H36" s="142">
        <v>0</v>
      </c>
      <c r="I36" s="106"/>
    </row>
    <row r="37" spans="1:8" ht="11.25">
      <c r="A37" s="110"/>
      <c r="B37" s="105" t="s">
        <v>123</v>
      </c>
      <c r="C37" s="126"/>
      <c r="D37" s="112"/>
      <c r="E37" s="127"/>
      <c r="F37" s="126"/>
      <c r="G37" s="126"/>
      <c r="H37" s="144"/>
    </row>
    <row r="38" spans="1:8" ht="11.25">
      <c r="A38" s="110"/>
      <c r="B38" s="109" t="s">
        <v>280</v>
      </c>
      <c r="C38" s="128"/>
      <c r="D38" s="112"/>
      <c r="E38" s="127"/>
      <c r="F38" s="126"/>
      <c r="G38" s="126"/>
      <c r="H38" s="142">
        <f>SUM(H39:H41)</f>
        <v>0</v>
      </c>
    </row>
    <row r="39" spans="1:8" ht="11.25" hidden="1">
      <c r="A39" s="100"/>
      <c r="B39" s="100"/>
      <c r="C39" s="100"/>
      <c r="D39" s="100"/>
      <c r="E39" s="100"/>
      <c r="F39" s="100"/>
      <c r="G39" s="100"/>
      <c r="H39" s="153"/>
    </row>
    <row r="40" spans="1:8" ht="11.25" hidden="1">
      <c r="A40" s="100"/>
      <c r="B40" s="100"/>
      <c r="C40" s="100"/>
      <c r="D40" s="100"/>
      <c r="E40" s="100"/>
      <c r="F40" s="100"/>
      <c r="G40" s="100"/>
      <c r="H40" s="153"/>
    </row>
    <row r="41" spans="1:8" ht="11.25" hidden="1">
      <c r="A41" s="100"/>
      <c r="B41" s="100"/>
      <c r="C41" s="100"/>
      <c r="D41" s="100"/>
      <c r="E41" s="100"/>
      <c r="F41" s="100"/>
      <c r="G41" s="100"/>
      <c r="H41" s="153"/>
    </row>
    <row r="42" spans="1:9" ht="11.25">
      <c r="A42" s="110"/>
      <c r="B42" s="109" t="s">
        <v>278</v>
      </c>
      <c r="C42" s="128"/>
      <c r="D42" s="112"/>
      <c r="E42" s="127"/>
      <c r="F42" s="126"/>
      <c r="G42" s="126"/>
      <c r="H42" s="142">
        <f>SUM(H43:H45)</f>
        <v>213600</v>
      </c>
      <c r="I42" s="106"/>
    </row>
    <row r="43" spans="1:8" ht="11.25">
      <c r="A43" s="110" t="s">
        <v>152</v>
      </c>
      <c r="B43" s="111" t="s">
        <v>227</v>
      </c>
      <c r="C43" s="111" t="s">
        <v>24</v>
      </c>
      <c r="D43" s="112" t="s">
        <v>25</v>
      </c>
      <c r="E43" s="113">
        <v>20</v>
      </c>
      <c r="F43" s="112">
        <v>135</v>
      </c>
      <c r="G43" s="112"/>
      <c r="H43" s="143">
        <f>E43*F43+G43</f>
        <v>2700</v>
      </c>
    </row>
    <row r="44" spans="1:8" ht="11.25">
      <c r="A44" s="110" t="s">
        <v>153</v>
      </c>
      <c r="B44" s="111" t="s">
        <v>361</v>
      </c>
      <c r="C44" s="111"/>
      <c r="D44" s="112" t="s">
        <v>25</v>
      </c>
      <c r="E44" s="113">
        <v>2130</v>
      </c>
      <c r="F44" s="112">
        <v>80</v>
      </c>
      <c r="G44" s="112"/>
      <c r="H44" s="143">
        <f>E44*F44+G44</f>
        <v>170400</v>
      </c>
    </row>
    <row r="45" spans="1:8" ht="11.25">
      <c r="A45" s="110" t="s">
        <v>160</v>
      </c>
      <c r="B45" s="111" t="s">
        <v>362</v>
      </c>
      <c r="C45" s="111" t="s">
        <v>363</v>
      </c>
      <c r="D45" s="112" t="s">
        <v>59</v>
      </c>
      <c r="E45" s="113">
        <v>1</v>
      </c>
      <c r="F45" s="112">
        <v>40500</v>
      </c>
      <c r="G45" s="112"/>
      <c r="H45" s="143">
        <f>E45*F45+G45</f>
        <v>40500</v>
      </c>
    </row>
    <row r="46" spans="1:8" ht="11.25" hidden="1">
      <c r="A46" s="110"/>
      <c r="B46" s="111"/>
      <c r="C46" s="111"/>
      <c r="D46" s="112"/>
      <c r="E46" s="113"/>
      <c r="F46" s="112"/>
      <c r="G46" s="112"/>
      <c r="H46" s="143"/>
    </row>
    <row r="47" spans="1:8" ht="11.25">
      <c r="A47" s="124"/>
      <c r="B47" s="107" t="s">
        <v>75</v>
      </c>
      <c r="C47" s="116"/>
      <c r="D47" s="117"/>
      <c r="E47" s="118"/>
      <c r="F47" s="117"/>
      <c r="G47" s="117"/>
      <c r="H47" s="146"/>
    </row>
    <row r="48" spans="1:8" ht="11.25">
      <c r="A48" s="110"/>
      <c r="B48" s="105" t="s">
        <v>287</v>
      </c>
      <c r="C48" s="126"/>
      <c r="D48" s="112"/>
      <c r="E48" s="127"/>
      <c r="F48" s="126"/>
      <c r="G48" s="126"/>
      <c r="H48" s="144"/>
    </row>
    <row r="49" spans="1:8" ht="11.25">
      <c r="A49" s="110"/>
      <c r="B49" s="109" t="s">
        <v>93</v>
      </c>
      <c r="C49" s="128"/>
      <c r="D49" s="112"/>
      <c r="E49" s="127"/>
      <c r="F49" s="126"/>
      <c r="G49" s="126"/>
      <c r="H49" s="142">
        <v>0</v>
      </c>
    </row>
    <row r="50" spans="1:9" ht="11.25">
      <c r="A50" s="110"/>
      <c r="B50" s="109" t="s">
        <v>94</v>
      </c>
      <c r="C50" s="128"/>
      <c r="D50" s="112"/>
      <c r="E50" s="127"/>
      <c r="F50" s="126"/>
      <c r="G50" s="126"/>
      <c r="H50" s="142">
        <v>0</v>
      </c>
      <c r="I50" s="106"/>
    </row>
    <row r="51" spans="1:8" ht="11.25">
      <c r="A51" s="110"/>
      <c r="B51" s="105" t="s">
        <v>288</v>
      </c>
      <c r="C51" s="126"/>
      <c r="D51" s="112"/>
      <c r="E51" s="127"/>
      <c r="F51" s="126"/>
      <c r="G51" s="126"/>
      <c r="H51" s="144"/>
    </row>
    <row r="52" spans="1:8" ht="11.25">
      <c r="A52" s="110"/>
      <c r="B52" s="109" t="s">
        <v>95</v>
      </c>
      <c r="C52" s="128"/>
      <c r="D52" s="112"/>
      <c r="E52" s="127"/>
      <c r="F52" s="126"/>
      <c r="G52" s="126"/>
      <c r="H52" s="142">
        <v>0</v>
      </c>
    </row>
    <row r="53" spans="1:9" ht="11.25">
      <c r="A53" s="110"/>
      <c r="B53" s="109" t="s">
        <v>96</v>
      </c>
      <c r="C53" s="128"/>
      <c r="D53" s="112"/>
      <c r="E53" s="127"/>
      <c r="F53" s="126"/>
      <c r="G53" s="126"/>
      <c r="H53" s="142">
        <f>H54</f>
        <v>0</v>
      </c>
      <c r="I53" s="106"/>
    </row>
    <row r="54" spans="1:8" ht="11.25" hidden="1">
      <c r="A54" s="110"/>
      <c r="B54" s="111"/>
      <c r="C54" s="111"/>
      <c r="D54" s="112"/>
      <c r="E54" s="113"/>
      <c r="F54" s="112"/>
      <c r="G54" s="112"/>
      <c r="H54" s="143"/>
    </row>
    <row r="55" spans="1:10" ht="11.25" customHeight="1">
      <c r="A55" s="110"/>
      <c r="B55" s="204" t="s">
        <v>61</v>
      </c>
      <c r="C55" s="204"/>
      <c r="D55" s="204"/>
      <c r="E55" s="204"/>
      <c r="F55" s="204"/>
      <c r="G55" s="204"/>
      <c r="H55" s="144">
        <f>SUM(H35,H38,H49,H52)*(1+Uhikhinnad!$E$161)</f>
        <v>0</v>
      </c>
      <c r="J55" s="122"/>
    </row>
    <row r="56" spans="1:12" ht="11.25" customHeight="1">
      <c r="A56" s="110"/>
      <c r="B56" s="204" t="s">
        <v>62</v>
      </c>
      <c r="C56" s="204"/>
      <c r="D56" s="204"/>
      <c r="E56" s="204"/>
      <c r="F56" s="204"/>
      <c r="G56" s="204"/>
      <c r="H56" s="144">
        <f>SUM(H36,H42,H50,H53)*(1+Uhikhinnad!$E$161)</f>
        <v>245639.99999999997</v>
      </c>
      <c r="L56" s="122"/>
    </row>
    <row r="57" spans="1:12" ht="11.25">
      <c r="A57" s="129"/>
      <c r="B57" s="205" t="s">
        <v>13</v>
      </c>
      <c r="C57" s="205"/>
      <c r="D57" s="205"/>
      <c r="E57" s="205"/>
      <c r="F57" s="205"/>
      <c r="G57" s="205"/>
      <c r="H57" s="145">
        <f>SUM(H55:H56)</f>
        <v>245639.99999999997</v>
      </c>
      <c r="J57" s="122"/>
      <c r="L57" s="122"/>
    </row>
    <row r="58" spans="1:8" ht="11.25" hidden="1">
      <c r="A58" s="129"/>
      <c r="B58" s="105" t="s">
        <v>133</v>
      </c>
      <c r="C58" s="126"/>
      <c r="D58" s="126"/>
      <c r="E58" s="112"/>
      <c r="F58" s="126"/>
      <c r="G58" s="126"/>
      <c r="H58" s="130"/>
    </row>
    <row r="59" spans="1:8" ht="11.25" hidden="1">
      <c r="A59" s="129"/>
      <c r="B59" s="107" t="s">
        <v>88</v>
      </c>
      <c r="C59" s="126"/>
      <c r="D59" s="126"/>
      <c r="E59" s="112"/>
      <c r="F59" s="126"/>
      <c r="G59" s="126"/>
      <c r="H59" s="130"/>
    </row>
    <row r="60" spans="2:10" ht="11.25" customHeight="1" hidden="1">
      <c r="B60" s="105" t="s">
        <v>131</v>
      </c>
      <c r="C60" s="126"/>
      <c r="D60" s="126"/>
      <c r="E60" s="112"/>
      <c r="F60" s="126"/>
      <c r="G60" s="126"/>
      <c r="H60" s="130"/>
      <c r="J60" s="122"/>
    </row>
    <row r="61" spans="2:8" ht="11.25" customHeight="1" hidden="1">
      <c r="B61" s="109" t="s">
        <v>281</v>
      </c>
      <c r="C61" s="126"/>
      <c r="D61" s="126"/>
      <c r="E61" s="112"/>
      <c r="F61" s="126"/>
      <c r="G61" s="126"/>
      <c r="H61" s="95">
        <f>H62</f>
        <v>0</v>
      </c>
    </row>
    <row r="62" spans="1:8" s="98" customFormat="1" ht="11.25" hidden="1">
      <c r="A62" s="110">
        <v>1008</v>
      </c>
      <c r="B62" s="111" t="str">
        <f>VLOOKUP(A62,Uhikhinnad!$A$6:$F$156,2,FALSE)</f>
        <v>Sademevee uuringud, geodeetilised mõõdistused ja perspektiivskeem</v>
      </c>
      <c r="C62" s="111">
        <f>VLOOKUP(A62,Uhikhinnad!$A$6:$F$156,3,FALSE)</f>
        <v>0</v>
      </c>
      <c r="D62" s="112" t="str">
        <f>VLOOKUP(A62,Uhikhinnad!$A$6:$F$156,4,FALSE)</f>
        <v>tk</v>
      </c>
      <c r="E62" s="113"/>
      <c r="F62" s="112"/>
      <c r="G62" s="112"/>
      <c r="H62" s="114">
        <f>E62*F62+G62</f>
        <v>0</v>
      </c>
    </row>
    <row r="63" spans="2:8" ht="11.25" customHeight="1" hidden="1">
      <c r="B63" s="109" t="s">
        <v>98</v>
      </c>
      <c r="C63" s="126"/>
      <c r="D63" s="126"/>
      <c r="E63" s="112"/>
      <c r="F63" s="126"/>
      <c r="G63" s="126"/>
      <c r="H63" s="95">
        <f>SUM(H64:H64)</f>
        <v>0</v>
      </c>
    </row>
    <row r="64" spans="1:8" s="98" customFormat="1" ht="11.25" hidden="1">
      <c r="A64" s="110" t="s">
        <v>292</v>
      </c>
      <c r="B64" s="111" t="str">
        <f>VLOOKUP(A64,Uhikhinnad!$A$6:$F$156,2,FALSE)</f>
        <v>kraavi rekonstrueerimine</v>
      </c>
      <c r="C64" s="111" t="str">
        <f>VLOOKUP(A64,Uhikhinnad!$A$6:$F$156,3,FALSE)</f>
        <v>kraav ja truubid</v>
      </c>
      <c r="D64" s="112" t="str">
        <f>VLOOKUP(A64,Uhikhinnad!$A$6:$F$156,4,FALSE)</f>
        <v>m</v>
      </c>
      <c r="E64" s="113"/>
      <c r="F64" s="112"/>
      <c r="G64" s="112"/>
      <c r="H64" s="114">
        <f>E64*F64+G64</f>
        <v>0</v>
      </c>
    </row>
    <row r="65" ht="11.25" customHeight="1" hidden="1">
      <c r="B65" s="105" t="s">
        <v>132</v>
      </c>
    </row>
    <row r="66" spans="2:8" ht="11.25" customHeight="1" hidden="1">
      <c r="B66" s="109" t="s">
        <v>99</v>
      </c>
      <c r="H66" s="95">
        <v>0</v>
      </c>
    </row>
    <row r="67" spans="2:8" ht="11.25" customHeight="1" hidden="1">
      <c r="B67" s="109" t="s">
        <v>100</v>
      </c>
      <c r="H67" s="95">
        <v>0</v>
      </c>
    </row>
    <row r="68" spans="1:8" ht="11.25" customHeight="1" hidden="1">
      <c r="A68" s="110"/>
      <c r="B68" s="204" t="s">
        <v>61</v>
      </c>
      <c r="C68" s="204"/>
      <c r="D68" s="204"/>
      <c r="E68" s="204"/>
      <c r="F68" s="204"/>
      <c r="G68" s="204"/>
      <c r="H68" s="121">
        <f>SUM(H61,H66)*(1+Uhikhinnad!E161)</f>
        <v>0</v>
      </c>
    </row>
    <row r="69" spans="1:12" ht="11.25" customHeight="1" hidden="1">
      <c r="A69" s="110"/>
      <c r="B69" s="204" t="s">
        <v>62</v>
      </c>
      <c r="C69" s="204"/>
      <c r="D69" s="204"/>
      <c r="E69" s="204"/>
      <c r="F69" s="204"/>
      <c r="G69" s="204"/>
      <c r="H69" s="121">
        <f>SUM(H63,H67)*(1+Uhikhinnad!E161)</f>
        <v>0</v>
      </c>
      <c r="L69" s="122"/>
    </row>
    <row r="70" spans="1:12" ht="11.25" hidden="1">
      <c r="A70" s="129"/>
      <c r="B70" s="205" t="s">
        <v>305</v>
      </c>
      <c r="C70" s="205"/>
      <c r="D70" s="205"/>
      <c r="E70" s="205"/>
      <c r="F70" s="205"/>
      <c r="G70" s="205"/>
      <c r="H70" s="123">
        <f>SUM(H68:H69)</f>
        <v>0</v>
      </c>
      <c r="L70" s="122"/>
    </row>
    <row r="72" ht="11.25" customHeight="1" hidden="1"/>
    <row r="73" ht="11.25" customHeight="1" hidden="1">
      <c r="H73" s="97">
        <f>H29+H55+H68</f>
        <v>0</v>
      </c>
    </row>
    <row r="74" ht="11.25" customHeight="1" hidden="1">
      <c r="H74" s="97">
        <f>H30+H56+H69</f>
        <v>540971.5</v>
      </c>
    </row>
    <row r="75" ht="11.25" customHeight="1" hidden="1">
      <c r="H75" s="97">
        <f>H73+H74</f>
        <v>540971.5</v>
      </c>
    </row>
    <row r="76" ht="11.25" customHeight="1" hidden="1"/>
  </sheetData>
  <sheetProtection/>
  <mergeCells count="9">
    <mergeCell ref="B68:G68"/>
    <mergeCell ref="B69:G69"/>
    <mergeCell ref="B70:G70"/>
    <mergeCell ref="B29:G29"/>
    <mergeCell ref="B30:G30"/>
    <mergeCell ref="B31:G31"/>
    <mergeCell ref="B55:G55"/>
    <mergeCell ref="B56:G56"/>
    <mergeCell ref="B57:G57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zoomScalePageLayoutView="0" workbookViewId="0" topLeftCell="B10">
      <selection activeCell="J82" sqref="J82"/>
    </sheetView>
  </sheetViews>
  <sheetFormatPr defaultColWidth="9.140625" defaultRowHeight="11.25" customHeight="1"/>
  <cols>
    <col min="1" max="1" width="8.421875" style="96" hidden="1" customWidth="1"/>
    <col min="2" max="2" width="36.5742187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hidden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325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I4" s="106"/>
      <c r="J4" s="106"/>
      <c r="K4" s="106"/>
    </row>
    <row r="5" spans="1:11" ht="11.25">
      <c r="A5" s="7"/>
      <c r="B5" s="107" t="s">
        <v>72</v>
      </c>
      <c r="I5" s="106"/>
      <c r="J5" s="106"/>
      <c r="K5" s="106"/>
    </row>
    <row r="6" spans="1:11" ht="11.25">
      <c r="A6" s="7"/>
      <c r="B6" s="108" t="s">
        <v>87</v>
      </c>
      <c r="I6" s="106"/>
      <c r="J6" s="106"/>
      <c r="K6" s="106"/>
    </row>
    <row r="7" spans="1:11" ht="11.25">
      <c r="A7" s="7"/>
      <c r="B7" s="109" t="s">
        <v>89</v>
      </c>
      <c r="H7" s="95">
        <v>0</v>
      </c>
      <c r="I7" s="106"/>
      <c r="J7" s="106"/>
      <c r="K7" s="106"/>
    </row>
    <row r="8" spans="1:11" ht="11.25">
      <c r="A8" s="7"/>
      <c r="B8" s="109" t="s">
        <v>90</v>
      </c>
      <c r="H8" s="95">
        <v>0</v>
      </c>
      <c r="J8" s="106"/>
      <c r="K8" s="106"/>
    </row>
    <row r="9" spans="1:11" ht="11.25">
      <c r="A9" s="7"/>
      <c r="B9" s="108" t="s">
        <v>271</v>
      </c>
      <c r="I9" s="106"/>
      <c r="J9" s="106"/>
      <c r="K9" s="106"/>
    </row>
    <row r="10" spans="1:11" ht="11.25">
      <c r="A10" s="7"/>
      <c r="B10" s="109" t="s">
        <v>91</v>
      </c>
      <c r="H10" s="95">
        <f>SUM(H11:H13)</f>
        <v>0</v>
      </c>
      <c r="I10" s="106"/>
      <c r="J10" s="106"/>
      <c r="K10" s="106"/>
    </row>
    <row r="11" spans="1:11" s="98" customFormat="1" ht="11.25" hidden="1">
      <c r="A11" s="110">
        <v>101</v>
      </c>
      <c r="B11" s="111" t="s">
        <v>44</v>
      </c>
      <c r="C11" s="111"/>
      <c r="D11" s="112" t="s">
        <v>25</v>
      </c>
      <c r="E11" s="113"/>
      <c r="F11" s="112"/>
      <c r="G11" s="112">
        <v>0</v>
      </c>
      <c r="H11" s="114">
        <f>E11*F11+G11</f>
        <v>0</v>
      </c>
      <c r="I11" s="115"/>
      <c r="J11" s="115"/>
      <c r="K11" s="115"/>
    </row>
    <row r="12" spans="1:11" s="98" customFormat="1" ht="11.25" hidden="1">
      <c r="A12" s="110">
        <v>101</v>
      </c>
      <c r="B12" s="111" t="s">
        <v>44</v>
      </c>
      <c r="C12" s="111"/>
      <c r="D12" s="112" t="s">
        <v>25</v>
      </c>
      <c r="E12" s="113"/>
      <c r="F12" s="112"/>
      <c r="G12" s="112">
        <v>0</v>
      </c>
      <c r="H12" s="114">
        <f>E12*F12+G12</f>
        <v>0</v>
      </c>
      <c r="I12" s="115"/>
      <c r="J12" s="115"/>
      <c r="K12" s="115"/>
    </row>
    <row r="13" spans="1:11" s="98" customFormat="1" ht="11.25" hidden="1">
      <c r="A13" s="110">
        <v>101</v>
      </c>
      <c r="B13" s="111" t="s">
        <v>44</v>
      </c>
      <c r="C13" s="111"/>
      <c r="D13" s="112" t="s">
        <v>25</v>
      </c>
      <c r="E13" s="113"/>
      <c r="F13" s="112"/>
      <c r="G13" s="112">
        <v>0</v>
      </c>
      <c r="H13" s="114">
        <f>E13*F13+G13</f>
        <v>0</v>
      </c>
      <c r="I13" s="115"/>
      <c r="J13" s="115"/>
      <c r="K13" s="115"/>
    </row>
    <row r="14" spans="1:11" ht="11.25">
      <c r="A14" s="7"/>
      <c r="B14" s="109" t="s">
        <v>92</v>
      </c>
      <c r="H14" s="95">
        <f>SUM(H15:H15)</f>
        <v>0</v>
      </c>
      <c r="J14" s="106"/>
      <c r="K14" s="106"/>
    </row>
    <row r="15" spans="1:11" s="98" customFormat="1" ht="11.25" hidden="1">
      <c r="A15" s="110"/>
      <c r="B15" s="111"/>
      <c r="C15" s="111"/>
      <c r="D15" s="112"/>
      <c r="E15" s="113"/>
      <c r="F15" s="112"/>
      <c r="G15" s="112"/>
      <c r="H15" s="114"/>
      <c r="I15" s="115"/>
      <c r="J15" s="115"/>
      <c r="K15" s="115"/>
    </row>
    <row r="16" spans="1:11" ht="11.25">
      <c r="A16" s="7"/>
      <c r="B16" s="107" t="s">
        <v>73</v>
      </c>
      <c r="J16" s="106"/>
      <c r="K16" s="106"/>
    </row>
    <row r="17" spans="1:8" ht="11.25">
      <c r="A17" s="110"/>
      <c r="B17" s="108" t="s">
        <v>272</v>
      </c>
      <c r="C17" s="116"/>
      <c r="D17" s="117"/>
      <c r="E17" s="118"/>
      <c r="F17" s="117"/>
      <c r="G17" s="117"/>
      <c r="H17" s="119"/>
    </row>
    <row r="18" spans="1:8" ht="11.25">
      <c r="A18" s="110"/>
      <c r="B18" s="109" t="s">
        <v>273</v>
      </c>
      <c r="C18" s="116"/>
      <c r="D18" s="117"/>
      <c r="E18" s="118"/>
      <c r="F18" s="117"/>
      <c r="G18" s="117"/>
      <c r="H18" s="95">
        <v>0</v>
      </c>
    </row>
    <row r="19" spans="1:8" ht="11.25">
      <c r="A19" s="110"/>
      <c r="B19" s="109" t="s">
        <v>275</v>
      </c>
      <c r="C19" s="120"/>
      <c r="D19" s="99"/>
      <c r="E19" s="102"/>
      <c r="F19" s="99"/>
      <c r="G19" s="99"/>
      <c r="H19" s="95">
        <v>0</v>
      </c>
    </row>
    <row r="20" spans="1:10" ht="11.25">
      <c r="A20" s="110"/>
      <c r="B20" s="108" t="s">
        <v>82</v>
      </c>
      <c r="C20" s="116"/>
      <c r="D20" s="117"/>
      <c r="E20" s="118"/>
      <c r="F20" s="117"/>
      <c r="G20" s="117"/>
      <c r="H20" s="119"/>
      <c r="J20" s="122"/>
    </row>
    <row r="21" spans="1:11" ht="11.25">
      <c r="A21" s="110"/>
      <c r="B21" s="109" t="s">
        <v>274</v>
      </c>
      <c r="C21" s="116"/>
      <c r="D21" s="117"/>
      <c r="E21" s="118"/>
      <c r="F21" s="117"/>
      <c r="G21" s="117"/>
      <c r="H21" s="95">
        <f>SUM(H22:H25)</f>
        <v>0</v>
      </c>
      <c r="K21" s="106"/>
    </row>
    <row r="22" spans="1:11" s="98" customFormat="1" ht="11.25" hidden="1">
      <c r="A22" s="110" t="s">
        <v>163</v>
      </c>
      <c r="B22" s="111" t="s">
        <v>214</v>
      </c>
      <c r="C22" s="111" t="s">
        <v>313</v>
      </c>
      <c r="D22" s="112" t="s">
        <v>25</v>
      </c>
      <c r="E22" s="113"/>
      <c r="F22" s="112"/>
      <c r="G22" s="112"/>
      <c r="H22" s="114">
        <f>E22*F22+G22</f>
        <v>0</v>
      </c>
      <c r="I22" s="115"/>
      <c r="J22" s="115"/>
      <c r="K22" s="115"/>
    </row>
    <row r="23" spans="1:11" s="98" customFormat="1" ht="11.25" hidden="1">
      <c r="A23" s="110">
        <v>202</v>
      </c>
      <c r="B23" s="111" t="s">
        <v>16</v>
      </c>
      <c r="C23" s="111" t="s">
        <v>80</v>
      </c>
      <c r="D23" s="112" t="s">
        <v>59</v>
      </c>
      <c r="E23" s="113"/>
      <c r="F23" s="112"/>
      <c r="G23" s="112"/>
      <c r="H23" s="114">
        <f>E23*F23+G23</f>
        <v>0</v>
      </c>
      <c r="I23" s="115"/>
      <c r="J23" s="115"/>
      <c r="K23" s="115"/>
    </row>
    <row r="24" spans="1:11" s="98" customFormat="1" ht="11.25" hidden="1">
      <c r="A24" s="110">
        <v>203</v>
      </c>
      <c r="B24" s="111" t="s">
        <v>291</v>
      </c>
      <c r="C24" s="111" t="s">
        <v>215</v>
      </c>
      <c r="D24" s="112" t="s">
        <v>31</v>
      </c>
      <c r="E24" s="102"/>
      <c r="F24" s="112"/>
      <c r="G24" s="112"/>
      <c r="H24" s="114">
        <f>E24*F24+G24</f>
        <v>0</v>
      </c>
      <c r="I24" s="115"/>
      <c r="J24" s="115"/>
      <c r="K24" s="115"/>
    </row>
    <row r="25" spans="1:11" s="98" customFormat="1" ht="11.25" hidden="1">
      <c r="A25" s="110"/>
      <c r="B25" s="111"/>
      <c r="C25" s="111"/>
      <c r="D25" s="112"/>
      <c r="E25" s="113"/>
      <c r="F25" s="112"/>
      <c r="G25" s="112"/>
      <c r="H25" s="114"/>
      <c r="I25" s="115"/>
      <c r="J25" s="115"/>
      <c r="K25" s="115"/>
    </row>
    <row r="26" spans="1:8" ht="11.25">
      <c r="A26" s="110"/>
      <c r="B26" s="109" t="s">
        <v>276</v>
      </c>
      <c r="C26" s="120"/>
      <c r="D26" s="99"/>
      <c r="E26" s="102"/>
      <c r="F26" s="99"/>
      <c r="G26" s="99"/>
      <c r="H26" s="95">
        <f>SUM(H27:H29)</f>
        <v>0</v>
      </c>
    </row>
    <row r="27" spans="1:11" s="98" customFormat="1" ht="11.25" hidden="1">
      <c r="A27" s="110"/>
      <c r="B27" s="111"/>
      <c r="C27" s="111"/>
      <c r="D27" s="112"/>
      <c r="E27" s="113"/>
      <c r="F27" s="112"/>
      <c r="G27" s="112"/>
      <c r="H27" s="114"/>
      <c r="I27" s="115"/>
      <c r="J27" s="115"/>
      <c r="K27" s="115"/>
    </row>
    <row r="28" spans="1:11" s="98" customFormat="1" ht="11.25" hidden="1">
      <c r="A28" s="110"/>
      <c r="B28" s="111"/>
      <c r="C28" s="111"/>
      <c r="D28" s="112"/>
      <c r="E28" s="113"/>
      <c r="F28" s="112"/>
      <c r="G28" s="112"/>
      <c r="H28" s="114"/>
      <c r="I28" s="115"/>
      <c r="J28" s="115"/>
      <c r="K28" s="115"/>
    </row>
    <row r="29" spans="1:11" s="98" customFormat="1" ht="11.25" hidden="1">
      <c r="A29" s="110"/>
      <c r="B29" s="111"/>
      <c r="C29" s="111"/>
      <c r="D29" s="112"/>
      <c r="E29" s="113"/>
      <c r="F29" s="112"/>
      <c r="G29" s="112"/>
      <c r="H29" s="114"/>
      <c r="I29" s="115"/>
      <c r="J29" s="115"/>
      <c r="K29" s="115"/>
    </row>
    <row r="30" spans="1:12" ht="11.25" customHeight="1">
      <c r="A30" s="110"/>
      <c r="B30" s="204" t="s">
        <v>61</v>
      </c>
      <c r="C30" s="204"/>
      <c r="D30" s="204"/>
      <c r="E30" s="204"/>
      <c r="F30" s="204"/>
      <c r="G30" s="204"/>
      <c r="H30" s="121">
        <f>SUM(H7,H10,H18,H21)*(1+15%)</f>
        <v>0</v>
      </c>
      <c r="K30" s="122">
        <f>H10+H21+H39</f>
        <v>0</v>
      </c>
      <c r="L30" s="121">
        <f>SUM(K30)*(1+Uhikhinnad!$E$161)</f>
        <v>0</v>
      </c>
    </row>
    <row r="31" spans="1:12" ht="11.25" customHeight="1">
      <c r="A31" s="110"/>
      <c r="B31" s="204" t="s">
        <v>62</v>
      </c>
      <c r="C31" s="204"/>
      <c r="D31" s="204"/>
      <c r="E31" s="204"/>
      <c r="F31" s="204"/>
      <c r="G31" s="204"/>
      <c r="H31" s="121">
        <f>SUM(H8,H14,H19,H26)*(1+Uhikhinnad!$E$161)</f>
        <v>0</v>
      </c>
      <c r="K31" s="122">
        <v>13040000</v>
      </c>
      <c r="L31" s="121">
        <f>SUM(K31)*(1+Uhikhinnad!$E$161)</f>
        <v>14995999.999999998</v>
      </c>
    </row>
    <row r="32" spans="1:12" ht="11.25">
      <c r="A32" s="110"/>
      <c r="B32" s="205" t="s">
        <v>45</v>
      </c>
      <c r="C32" s="205"/>
      <c r="D32" s="205"/>
      <c r="E32" s="205"/>
      <c r="F32" s="205"/>
      <c r="G32" s="205"/>
      <c r="H32" s="123">
        <f>SUM(H30:H31)</f>
        <v>0</v>
      </c>
      <c r="K32" s="122"/>
      <c r="L32" s="121"/>
    </row>
    <row r="33" spans="1:8" ht="11.25">
      <c r="A33" s="124"/>
      <c r="B33" s="105" t="s">
        <v>32</v>
      </c>
      <c r="C33" s="116"/>
      <c r="D33" s="117"/>
      <c r="E33" s="118"/>
      <c r="F33" s="117"/>
      <c r="G33" s="117"/>
      <c r="H33" s="125"/>
    </row>
    <row r="34" spans="1:8" ht="11.25">
      <c r="A34" s="124"/>
      <c r="B34" s="107" t="s">
        <v>74</v>
      </c>
      <c r="C34" s="116"/>
      <c r="D34" s="117"/>
      <c r="E34" s="118"/>
      <c r="F34" s="117"/>
      <c r="G34" s="117"/>
      <c r="H34" s="125"/>
    </row>
    <row r="35" spans="1:8" ht="11.25">
      <c r="A35" s="110"/>
      <c r="B35" s="105" t="s">
        <v>270</v>
      </c>
      <c r="C35" s="126"/>
      <c r="D35" s="112"/>
      <c r="E35" s="127"/>
      <c r="F35" s="126"/>
      <c r="G35" s="126"/>
      <c r="H35" s="119"/>
    </row>
    <row r="36" spans="1:8" ht="11.25">
      <c r="A36" s="110"/>
      <c r="B36" s="109" t="s">
        <v>279</v>
      </c>
      <c r="C36" s="128"/>
      <c r="D36" s="112"/>
      <c r="E36" s="127"/>
      <c r="F36" s="126"/>
      <c r="G36" s="126"/>
      <c r="H36" s="95">
        <v>0</v>
      </c>
    </row>
    <row r="37" spans="1:9" ht="11.25">
      <c r="A37" s="110"/>
      <c r="B37" s="109" t="s">
        <v>277</v>
      </c>
      <c r="C37" s="128"/>
      <c r="D37" s="112"/>
      <c r="E37" s="127"/>
      <c r="F37" s="126"/>
      <c r="G37" s="126"/>
      <c r="H37" s="95">
        <v>0</v>
      </c>
      <c r="I37" s="106"/>
    </row>
    <row r="38" spans="1:8" ht="11.25">
      <c r="A38" s="110"/>
      <c r="B38" s="105" t="s">
        <v>123</v>
      </c>
      <c r="C38" s="126"/>
      <c r="D38" s="112"/>
      <c r="E38" s="127"/>
      <c r="F38" s="126"/>
      <c r="G38" s="126"/>
      <c r="H38" s="119"/>
    </row>
    <row r="39" spans="1:8" ht="11.25">
      <c r="A39" s="110"/>
      <c r="B39" s="109" t="s">
        <v>280</v>
      </c>
      <c r="C39" s="128"/>
      <c r="D39" s="112"/>
      <c r="E39" s="127"/>
      <c r="F39" s="126"/>
      <c r="G39" s="126"/>
      <c r="H39" s="131">
        <f>SUM(H40:H43)</f>
        <v>0</v>
      </c>
    </row>
    <row r="40" spans="1:8" ht="11.25" hidden="1">
      <c r="A40" s="110" t="s">
        <v>152</v>
      </c>
      <c r="B40" s="111" t="s">
        <v>227</v>
      </c>
      <c r="C40" s="111" t="s">
        <v>24</v>
      </c>
      <c r="D40" s="112" t="s">
        <v>25</v>
      </c>
      <c r="E40" s="113"/>
      <c r="F40" s="112"/>
      <c r="G40" s="112"/>
      <c r="H40" s="114">
        <f>E40*F40+G40</f>
        <v>0</v>
      </c>
    </row>
    <row r="41" spans="1:8" ht="11.25" hidden="1">
      <c r="A41" s="110" t="s">
        <v>153</v>
      </c>
      <c r="B41" s="111" t="s">
        <v>228</v>
      </c>
      <c r="C41" s="111" t="s">
        <v>57</v>
      </c>
      <c r="D41" s="112" t="s">
        <v>25</v>
      </c>
      <c r="E41" s="113"/>
      <c r="F41" s="112"/>
      <c r="G41" s="112"/>
      <c r="H41" s="114">
        <f>E41*F41+G41</f>
        <v>0</v>
      </c>
    </row>
    <row r="42" spans="1:8" ht="11.25" hidden="1">
      <c r="A42" s="110" t="s">
        <v>157</v>
      </c>
      <c r="B42" s="111" t="s">
        <v>228</v>
      </c>
      <c r="C42" s="111" t="s">
        <v>24</v>
      </c>
      <c r="D42" s="112" t="s">
        <v>25</v>
      </c>
      <c r="E42" s="113"/>
      <c r="F42" s="112"/>
      <c r="G42" s="112"/>
      <c r="H42" s="114">
        <f>E42*F42+G42</f>
        <v>0</v>
      </c>
    </row>
    <row r="43" spans="1:8" ht="11.25" hidden="1">
      <c r="A43" s="110" t="s">
        <v>160</v>
      </c>
      <c r="B43" s="111" t="s">
        <v>229</v>
      </c>
      <c r="C43" s="111" t="s">
        <v>232</v>
      </c>
      <c r="D43" s="112" t="s">
        <v>59</v>
      </c>
      <c r="E43" s="113"/>
      <c r="F43" s="112"/>
      <c r="G43" s="112"/>
      <c r="H43" s="114">
        <f>E43*F43+G43</f>
        <v>0</v>
      </c>
    </row>
    <row r="44" spans="1:9" ht="11.25">
      <c r="A44" s="110"/>
      <c r="B44" s="109" t="s">
        <v>278</v>
      </c>
      <c r="C44" s="128"/>
      <c r="D44" s="112"/>
      <c r="E44" s="127"/>
      <c r="F44" s="126"/>
      <c r="G44" s="126"/>
      <c r="H44" s="95">
        <f>SUM(H45:H45)</f>
        <v>0</v>
      </c>
      <c r="I44" s="106"/>
    </row>
    <row r="45" spans="1:8" ht="11.25">
      <c r="A45" s="110"/>
      <c r="B45" s="111"/>
      <c r="C45" s="111"/>
      <c r="D45" s="112"/>
      <c r="E45" s="113"/>
      <c r="F45" s="112"/>
      <c r="G45" s="112"/>
      <c r="H45" s="114"/>
    </row>
    <row r="46" spans="1:8" ht="11.25">
      <c r="A46" s="124"/>
      <c r="B46" s="107" t="s">
        <v>75</v>
      </c>
      <c r="C46" s="116"/>
      <c r="D46" s="117"/>
      <c r="E46" s="118"/>
      <c r="F46" s="117"/>
      <c r="G46" s="117"/>
      <c r="H46" s="125"/>
    </row>
    <row r="47" spans="1:8" ht="11.25">
      <c r="A47" s="110"/>
      <c r="B47" s="105" t="s">
        <v>287</v>
      </c>
      <c r="C47" s="126"/>
      <c r="D47" s="112"/>
      <c r="E47" s="127"/>
      <c r="F47" s="126"/>
      <c r="G47" s="126"/>
      <c r="H47" s="119"/>
    </row>
    <row r="48" spans="1:8" ht="11.25">
      <c r="A48" s="110"/>
      <c r="B48" s="109" t="s">
        <v>93</v>
      </c>
      <c r="C48" s="128"/>
      <c r="D48" s="112"/>
      <c r="E48" s="127"/>
      <c r="F48" s="126"/>
      <c r="G48" s="126"/>
      <c r="H48" s="95">
        <v>0</v>
      </c>
    </row>
    <row r="49" spans="1:9" ht="11.25">
      <c r="A49" s="110"/>
      <c r="B49" s="109" t="s">
        <v>94</v>
      </c>
      <c r="C49" s="128"/>
      <c r="D49" s="112"/>
      <c r="E49" s="127"/>
      <c r="F49" s="126"/>
      <c r="G49" s="126"/>
      <c r="H49" s="95">
        <v>0</v>
      </c>
      <c r="I49" s="106"/>
    </row>
    <row r="50" spans="1:8" ht="11.25">
      <c r="A50" s="110"/>
      <c r="B50" s="105" t="s">
        <v>288</v>
      </c>
      <c r="C50" s="126"/>
      <c r="D50" s="112"/>
      <c r="E50" s="127"/>
      <c r="F50" s="126"/>
      <c r="G50" s="126"/>
      <c r="H50" s="119"/>
    </row>
    <row r="51" spans="1:8" ht="11.25">
      <c r="A51" s="110"/>
      <c r="B51" s="109" t="s">
        <v>95</v>
      </c>
      <c r="C51" s="128"/>
      <c r="D51" s="112"/>
      <c r="E51" s="127"/>
      <c r="F51" s="126"/>
      <c r="G51" s="126"/>
      <c r="H51" s="95">
        <v>0</v>
      </c>
    </row>
    <row r="52" spans="1:9" ht="11.25">
      <c r="A52" s="110"/>
      <c r="B52" s="109" t="s">
        <v>96</v>
      </c>
      <c r="C52" s="128"/>
      <c r="D52" s="112"/>
      <c r="E52" s="127"/>
      <c r="F52" s="126"/>
      <c r="G52" s="126"/>
      <c r="H52" s="95">
        <f>H53</f>
        <v>0</v>
      </c>
      <c r="I52" s="106"/>
    </row>
    <row r="53" spans="1:8" ht="11.25" hidden="1">
      <c r="A53" s="110"/>
      <c r="B53" s="111"/>
      <c r="C53" s="111"/>
      <c r="D53" s="112"/>
      <c r="E53" s="113"/>
      <c r="F53" s="112"/>
      <c r="G53" s="112"/>
      <c r="H53" s="114"/>
    </row>
    <row r="54" spans="1:10" ht="11.25" customHeight="1">
      <c r="A54" s="110"/>
      <c r="B54" s="204" t="s">
        <v>61</v>
      </c>
      <c r="C54" s="204"/>
      <c r="D54" s="204"/>
      <c r="E54" s="204"/>
      <c r="F54" s="204"/>
      <c r="G54" s="204"/>
      <c r="H54" s="121">
        <f>SUM(H36,H39,H48,H51)*(1+15%)</f>
        <v>0</v>
      </c>
      <c r="J54" s="122"/>
    </row>
    <row r="55" spans="1:12" ht="11.25" customHeight="1">
      <c r="A55" s="110"/>
      <c r="B55" s="204" t="s">
        <v>62</v>
      </c>
      <c r="C55" s="204"/>
      <c r="D55" s="204"/>
      <c r="E55" s="204"/>
      <c r="F55" s="204"/>
      <c r="G55" s="204"/>
      <c r="H55" s="121">
        <f>SUM(H37,H44,H49,H52)*(1+Uhikhinnad!$E$161)</f>
        <v>0</v>
      </c>
      <c r="L55" s="122"/>
    </row>
    <row r="56" spans="1:12" ht="11.25">
      <c r="A56" s="129"/>
      <c r="B56" s="205" t="s">
        <v>13</v>
      </c>
      <c r="C56" s="205"/>
      <c r="D56" s="205"/>
      <c r="E56" s="205"/>
      <c r="F56" s="205"/>
      <c r="G56" s="205"/>
      <c r="H56" s="123">
        <f>SUM(H54:H55)</f>
        <v>0</v>
      </c>
      <c r="J56" s="122"/>
      <c r="L56" s="122"/>
    </row>
    <row r="57" spans="1:8" ht="11.25" hidden="1">
      <c r="A57" s="129"/>
      <c r="B57" s="105" t="s">
        <v>133</v>
      </c>
      <c r="C57" s="126"/>
      <c r="D57" s="126"/>
      <c r="E57" s="112"/>
      <c r="F57" s="126"/>
      <c r="G57" s="126"/>
      <c r="H57" s="130"/>
    </row>
    <row r="58" spans="1:8" ht="11.25" hidden="1">
      <c r="A58" s="129"/>
      <c r="B58" s="107" t="s">
        <v>88</v>
      </c>
      <c r="C58" s="126"/>
      <c r="D58" s="126"/>
      <c r="E58" s="112"/>
      <c r="F58" s="126"/>
      <c r="G58" s="126"/>
      <c r="H58" s="130"/>
    </row>
    <row r="59" spans="2:10" ht="11.25" customHeight="1" hidden="1">
      <c r="B59" s="105" t="s">
        <v>131</v>
      </c>
      <c r="C59" s="126"/>
      <c r="D59" s="126"/>
      <c r="E59" s="112"/>
      <c r="F59" s="126"/>
      <c r="G59" s="126"/>
      <c r="H59" s="130"/>
      <c r="J59" s="122"/>
    </row>
    <row r="60" spans="2:8" ht="11.25" customHeight="1" hidden="1">
      <c r="B60" s="109" t="s">
        <v>281</v>
      </c>
      <c r="C60" s="126"/>
      <c r="D60" s="126"/>
      <c r="E60" s="112"/>
      <c r="F60" s="126"/>
      <c r="G60" s="126"/>
      <c r="H60" s="95">
        <f>H61</f>
        <v>0</v>
      </c>
    </row>
    <row r="61" spans="1:8" s="98" customFormat="1" ht="11.25" hidden="1">
      <c r="A61" s="110">
        <v>1008</v>
      </c>
      <c r="B61" s="111" t="str">
        <f>VLOOKUP(A61,Uhikhinnad!$A$6:$F$156,2,FALSE)</f>
        <v>Sademevee uuringud, geodeetilised mõõdistused ja perspektiivskeem</v>
      </c>
      <c r="C61" s="111">
        <f>VLOOKUP(A61,Uhikhinnad!$A$6:$F$156,3,FALSE)</f>
        <v>0</v>
      </c>
      <c r="D61" s="112" t="str">
        <f>VLOOKUP(A61,Uhikhinnad!$A$6:$F$156,4,FALSE)</f>
        <v>tk</v>
      </c>
      <c r="E61" s="113"/>
      <c r="F61" s="112"/>
      <c r="G61" s="112">
        <f>VLOOKUP(A61,Uhikhinnad!$A$6:$F$156,6,FALSE)</f>
        <v>0</v>
      </c>
      <c r="H61" s="114">
        <f>E61*F61+G61</f>
        <v>0</v>
      </c>
    </row>
    <row r="62" spans="2:8" ht="11.25" customHeight="1" hidden="1">
      <c r="B62" s="109" t="s">
        <v>98</v>
      </c>
      <c r="C62" s="126"/>
      <c r="D62" s="126"/>
      <c r="E62" s="112"/>
      <c r="F62" s="126"/>
      <c r="G62" s="126"/>
      <c r="H62" s="95">
        <f>SUM(H63:H63)</f>
        <v>0</v>
      </c>
    </row>
    <row r="63" spans="1:8" s="98" customFormat="1" ht="11.25" hidden="1">
      <c r="A63" s="110" t="s">
        <v>292</v>
      </c>
      <c r="B63" s="111" t="str">
        <f>VLOOKUP(A63,Uhikhinnad!$A$6:$F$156,2,FALSE)</f>
        <v>kraavi rekonstrueerimine</v>
      </c>
      <c r="C63" s="111" t="str">
        <f>VLOOKUP(A63,Uhikhinnad!$A$6:$F$156,3,FALSE)</f>
        <v>kraav ja truubid</v>
      </c>
      <c r="D63" s="112" t="str">
        <f>VLOOKUP(A63,Uhikhinnad!$A$6:$F$156,4,FALSE)</f>
        <v>m</v>
      </c>
      <c r="E63" s="113"/>
      <c r="F63" s="112"/>
      <c r="G63" s="112">
        <f>VLOOKUP(A63,Uhikhinnad!$A$6:$F$156,6,FALSE)</f>
        <v>0</v>
      </c>
      <c r="H63" s="114">
        <f>E63*F63+G63</f>
        <v>0</v>
      </c>
    </row>
    <row r="64" ht="11.25" customHeight="1" hidden="1">
      <c r="B64" s="105" t="s">
        <v>132</v>
      </c>
    </row>
    <row r="65" spans="2:8" ht="11.25" customHeight="1" hidden="1">
      <c r="B65" s="109" t="s">
        <v>99</v>
      </c>
      <c r="H65" s="95">
        <v>0</v>
      </c>
    </row>
    <row r="66" spans="2:8" ht="11.25" customHeight="1" hidden="1">
      <c r="B66" s="109" t="s">
        <v>100</v>
      </c>
      <c r="H66" s="95">
        <v>0</v>
      </c>
    </row>
    <row r="67" spans="1:8" ht="11.25" customHeight="1" hidden="1">
      <c r="A67" s="110"/>
      <c r="B67" s="204" t="s">
        <v>61</v>
      </c>
      <c r="C67" s="204"/>
      <c r="D67" s="204"/>
      <c r="E67" s="204"/>
      <c r="F67" s="204"/>
      <c r="G67" s="204"/>
      <c r="H67" s="121">
        <f>SUM(H60,H65)*(1+15%)</f>
        <v>0</v>
      </c>
    </row>
    <row r="68" spans="1:12" ht="11.25" customHeight="1" hidden="1">
      <c r="A68" s="110"/>
      <c r="B68" s="204" t="s">
        <v>62</v>
      </c>
      <c r="C68" s="204"/>
      <c r="D68" s="204"/>
      <c r="E68" s="204"/>
      <c r="F68" s="204"/>
      <c r="G68" s="204"/>
      <c r="H68" s="121">
        <f>SUM(H62,H66)*(1+15%)</f>
        <v>0</v>
      </c>
      <c r="L68" s="122"/>
    </row>
    <row r="69" spans="1:12" ht="11.25" hidden="1">
      <c r="A69" s="129"/>
      <c r="B69" s="205" t="s">
        <v>305</v>
      </c>
      <c r="C69" s="205"/>
      <c r="D69" s="205"/>
      <c r="E69" s="205"/>
      <c r="F69" s="205"/>
      <c r="G69" s="205"/>
      <c r="H69" s="123">
        <f>SUM(H67:H68)</f>
        <v>0</v>
      </c>
      <c r="L69" s="122"/>
    </row>
    <row r="70" ht="11.25" customHeight="1" hidden="1"/>
    <row r="71" ht="11.25" customHeight="1" hidden="1"/>
    <row r="72" spans="7:8" ht="11.25" customHeight="1" hidden="1">
      <c r="G72" s="98" t="s">
        <v>353</v>
      </c>
      <c r="H72" s="97">
        <f>H30+H54+H67</f>
        <v>0</v>
      </c>
    </row>
    <row r="73" spans="7:8" ht="11.25" customHeight="1" hidden="1">
      <c r="G73" s="98" t="s">
        <v>355</v>
      </c>
      <c r="H73" s="97">
        <f>H31+H55+H68</f>
        <v>0</v>
      </c>
    </row>
    <row r="74" spans="7:8" ht="11.25" customHeight="1" hidden="1">
      <c r="G74" s="98" t="s">
        <v>68</v>
      </c>
      <c r="H74" s="97">
        <f>H72+H73</f>
        <v>0</v>
      </c>
    </row>
  </sheetData>
  <sheetProtection/>
  <mergeCells count="9">
    <mergeCell ref="B67:G67"/>
    <mergeCell ref="B68:G68"/>
    <mergeCell ref="B69:G69"/>
    <mergeCell ref="B30:G30"/>
    <mergeCell ref="B31:G31"/>
    <mergeCell ref="B32:G32"/>
    <mergeCell ref="B54:G54"/>
    <mergeCell ref="B55:G55"/>
    <mergeCell ref="B56:G56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7"/>
  <sheetViews>
    <sheetView zoomScale="85" zoomScaleNormal="85" zoomScalePageLayoutView="0" workbookViewId="0" topLeftCell="B1">
      <selection activeCell="N53" sqref="N53"/>
    </sheetView>
  </sheetViews>
  <sheetFormatPr defaultColWidth="9.140625" defaultRowHeight="11.25" customHeight="1"/>
  <cols>
    <col min="1" max="1" width="6.28125" style="96" hidden="1" customWidth="1"/>
    <col min="2" max="2" width="36.5742187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hidden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326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I4" s="106"/>
      <c r="J4" s="106"/>
      <c r="K4" s="106"/>
    </row>
    <row r="5" spans="1:11" ht="11.25">
      <c r="A5" s="7"/>
      <c r="B5" s="107" t="s">
        <v>72</v>
      </c>
      <c r="I5" s="106"/>
      <c r="J5" s="106"/>
      <c r="K5" s="106"/>
    </row>
    <row r="6" spans="1:11" ht="11.25">
      <c r="A6" s="7"/>
      <c r="B6" s="108" t="s">
        <v>87</v>
      </c>
      <c r="I6" s="106"/>
      <c r="J6" s="106"/>
      <c r="K6" s="106"/>
    </row>
    <row r="7" spans="1:11" ht="11.25">
      <c r="A7" s="7"/>
      <c r="B7" s="109" t="s">
        <v>89</v>
      </c>
      <c r="H7" s="95">
        <v>0</v>
      </c>
      <c r="I7" s="106"/>
      <c r="J7" s="106"/>
      <c r="K7" s="106"/>
    </row>
    <row r="8" spans="1:11" ht="11.25">
      <c r="A8" s="7"/>
      <c r="B8" s="109" t="s">
        <v>90</v>
      </c>
      <c r="H8" s="95">
        <v>0</v>
      </c>
      <c r="J8" s="106"/>
      <c r="K8" s="106"/>
    </row>
    <row r="9" spans="1:11" ht="11.25">
      <c r="A9" s="7"/>
      <c r="B9" s="108" t="s">
        <v>271</v>
      </c>
      <c r="I9" s="106"/>
      <c r="J9" s="106"/>
      <c r="K9" s="106"/>
    </row>
    <row r="10" spans="1:11" ht="11.25">
      <c r="A10" s="7"/>
      <c r="B10" s="109" t="s">
        <v>91</v>
      </c>
      <c r="H10" s="95">
        <f>SUM(H11:H15)</f>
        <v>0</v>
      </c>
      <c r="I10" s="106"/>
      <c r="J10" s="106"/>
      <c r="K10" s="106"/>
    </row>
    <row r="11" spans="1:11" s="98" customFormat="1" ht="11.25" hidden="1">
      <c r="A11" s="110">
        <v>1009</v>
      </c>
      <c r="B11" s="111" t="s">
        <v>310</v>
      </c>
      <c r="C11" s="111"/>
      <c r="D11" s="112" t="s">
        <v>31</v>
      </c>
      <c r="E11" s="113"/>
      <c r="F11" s="112"/>
      <c r="G11" s="112">
        <v>0</v>
      </c>
      <c r="H11" s="114">
        <f>E11*F11+G11</f>
        <v>0</v>
      </c>
      <c r="I11" s="132"/>
      <c r="J11" s="115"/>
      <c r="K11" s="115"/>
    </row>
    <row r="12" spans="1:11" s="98" customFormat="1" ht="11.25" hidden="1">
      <c r="A12" s="110">
        <v>101</v>
      </c>
      <c r="B12" s="111" t="s">
        <v>44</v>
      </c>
      <c r="C12" s="111"/>
      <c r="D12" s="112" t="s">
        <v>25</v>
      </c>
      <c r="E12" s="113"/>
      <c r="F12" s="112"/>
      <c r="G12" s="112">
        <v>0</v>
      </c>
      <c r="H12" s="114">
        <f>E12*F12+G12</f>
        <v>0</v>
      </c>
      <c r="I12" s="115"/>
      <c r="J12" s="115"/>
      <c r="K12" s="115"/>
    </row>
    <row r="13" spans="1:11" s="98" customFormat="1" ht="11.25" hidden="1">
      <c r="A13" s="110">
        <v>101</v>
      </c>
      <c r="B13" s="111" t="s">
        <v>44</v>
      </c>
      <c r="C13" s="111"/>
      <c r="D13" s="112" t="s">
        <v>25</v>
      </c>
      <c r="E13" s="113"/>
      <c r="F13" s="112"/>
      <c r="G13" s="112">
        <v>0</v>
      </c>
      <c r="H13" s="114">
        <f>E13*F13+G13</f>
        <v>0</v>
      </c>
      <c r="I13" s="115"/>
      <c r="J13" s="115"/>
      <c r="K13" s="115"/>
    </row>
    <row r="14" spans="1:11" s="98" customFormat="1" ht="11.25" hidden="1">
      <c r="A14" s="110">
        <v>101</v>
      </c>
      <c r="B14" s="111" t="s">
        <v>44</v>
      </c>
      <c r="C14" s="111"/>
      <c r="D14" s="112" t="s">
        <v>25</v>
      </c>
      <c r="E14" s="113"/>
      <c r="F14" s="112"/>
      <c r="G14" s="112">
        <v>0</v>
      </c>
      <c r="H14" s="114">
        <f>E14*F14+G14</f>
        <v>0</v>
      </c>
      <c r="I14" s="115"/>
      <c r="J14" s="115"/>
      <c r="K14" s="115"/>
    </row>
    <row r="15" spans="1:11" s="98" customFormat="1" ht="11.25" hidden="1">
      <c r="A15" s="110">
        <v>104</v>
      </c>
      <c r="B15" s="111" t="s">
        <v>42</v>
      </c>
      <c r="C15" s="111"/>
      <c r="D15" s="112" t="s">
        <v>59</v>
      </c>
      <c r="E15" s="113"/>
      <c r="F15" s="112"/>
      <c r="G15" s="112">
        <v>0</v>
      </c>
      <c r="H15" s="114">
        <f>E15*F15+G15</f>
        <v>0</v>
      </c>
      <c r="I15" s="115"/>
      <c r="J15" s="115"/>
      <c r="K15" s="115"/>
    </row>
    <row r="16" spans="1:11" ht="11.25">
      <c r="A16" s="7"/>
      <c r="B16" s="109" t="s">
        <v>92</v>
      </c>
      <c r="H16" s="95">
        <f>SUM(H17:H17)</f>
        <v>0</v>
      </c>
      <c r="J16" s="106"/>
      <c r="K16" s="106"/>
    </row>
    <row r="17" spans="1:11" s="98" customFormat="1" ht="11.25" hidden="1">
      <c r="A17" s="110"/>
      <c r="B17" s="111"/>
      <c r="C17" s="111"/>
      <c r="D17" s="112"/>
      <c r="E17" s="113"/>
      <c r="F17" s="112"/>
      <c r="G17" s="112"/>
      <c r="H17" s="114"/>
      <c r="I17" s="115"/>
      <c r="J17" s="115"/>
      <c r="K17" s="115"/>
    </row>
    <row r="18" spans="1:11" ht="11.25">
      <c r="A18" s="7"/>
      <c r="B18" s="107" t="s">
        <v>73</v>
      </c>
      <c r="J18" s="106"/>
      <c r="K18" s="106"/>
    </row>
    <row r="19" spans="1:8" ht="11.25">
      <c r="A19" s="110"/>
      <c r="B19" s="108" t="s">
        <v>272</v>
      </c>
      <c r="C19" s="116"/>
      <c r="D19" s="117"/>
      <c r="E19" s="118"/>
      <c r="F19" s="117"/>
      <c r="G19" s="117"/>
      <c r="H19" s="119"/>
    </row>
    <row r="20" spans="1:8" ht="11.25">
      <c r="A20" s="110"/>
      <c r="B20" s="109" t="s">
        <v>273</v>
      </c>
      <c r="C20" s="116"/>
      <c r="D20" s="117"/>
      <c r="E20" s="118"/>
      <c r="F20" s="117"/>
      <c r="G20" s="117"/>
      <c r="H20" s="95">
        <v>0</v>
      </c>
    </row>
    <row r="21" spans="1:8" ht="11.25">
      <c r="A21" s="110"/>
      <c r="B21" s="109" t="s">
        <v>275</v>
      </c>
      <c r="C21" s="120"/>
      <c r="D21" s="99"/>
      <c r="E21" s="102"/>
      <c r="F21" s="99"/>
      <c r="G21" s="99"/>
      <c r="H21" s="95">
        <v>0</v>
      </c>
    </row>
    <row r="22" spans="1:10" ht="11.25">
      <c r="A22" s="110"/>
      <c r="B22" s="108" t="s">
        <v>82</v>
      </c>
      <c r="C22" s="116"/>
      <c r="D22" s="117"/>
      <c r="E22" s="118"/>
      <c r="F22" s="117"/>
      <c r="G22" s="117"/>
      <c r="H22" s="119"/>
      <c r="J22" s="122"/>
    </row>
    <row r="23" spans="1:11" ht="11.25">
      <c r="A23" s="110"/>
      <c r="B23" s="109" t="s">
        <v>274</v>
      </c>
      <c r="C23" s="116"/>
      <c r="D23" s="117"/>
      <c r="E23" s="118"/>
      <c r="F23" s="117"/>
      <c r="G23" s="117"/>
      <c r="H23" s="95">
        <f>SUM(H24:H27)</f>
        <v>0</v>
      </c>
      <c r="K23" s="106"/>
    </row>
    <row r="24" spans="1:11" s="98" customFormat="1" ht="11.25" hidden="1">
      <c r="A24" s="110" t="s">
        <v>163</v>
      </c>
      <c r="B24" s="111" t="s">
        <v>214</v>
      </c>
      <c r="C24" s="111" t="s">
        <v>313</v>
      </c>
      <c r="D24" s="112" t="s">
        <v>25</v>
      </c>
      <c r="E24" s="113"/>
      <c r="F24" s="112"/>
      <c r="G24" s="112"/>
      <c r="H24" s="114">
        <f>E24*F24+G24</f>
        <v>0</v>
      </c>
      <c r="I24" s="115"/>
      <c r="J24" s="115"/>
      <c r="K24" s="115"/>
    </row>
    <row r="25" spans="1:11" s="98" customFormat="1" ht="11.25" hidden="1">
      <c r="A25" s="110">
        <v>202</v>
      </c>
      <c r="B25" s="111" t="s">
        <v>16</v>
      </c>
      <c r="C25" s="111" t="s">
        <v>80</v>
      </c>
      <c r="D25" s="112" t="s">
        <v>59</v>
      </c>
      <c r="E25" s="113"/>
      <c r="F25" s="112"/>
      <c r="G25" s="112"/>
      <c r="H25" s="114">
        <f>E25*F25+G25</f>
        <v>0</v>
      </c>
      <c r="I25" s="115"/>
      <c r="J25" s="115"/>
      <c r="K25" s="115"/>
    </row>
    <row r="26" spans="1:11" s="98" customFormat="1" ht="11.25" hidden="1">
      <c r="A26" s="110">
        <v>203</v>
      </c>
      <c r="B26" s="111" t="s">
        <v>291</v>
      </c>
      <c r="C26" s="111" t="s">
        <v>215</v>
      </c>
      <c r="D26" s="112" t="s">
        <v>31</v>
      </c>
      <c r="E26" s="102"/>
      <c r="F26" s="112"/>
      <c r="G26" s="112"/>
      <c r="H26" s="114">
        <f>E26*F26+G26</f>
        <v>0</v>
      </c>
      <c r="I26" s="115"/>
      <c r="J26" s="115"/>
      <c r="K26" s="115"/>
    </row>
    <row r="27" spans="1:11" s="98" customFormat="1" ht="11.25" hidden="1">
      <c r="A27" s="110"/>
      <c r="B27" s="111"/>
      <c r="C27" s="111"/>
      <c r="D27" s="112"/>
      <c r="E27" s="113"/>
      <c r="F27" s="112"/>
      <c r="G27" s="112"/>
      <c r="H27" s="114"/>
      <c r="I27" s="115"/>
      <c r="J27" s="115"/>
      <c r="K27" s="115"/>
    </row>
    <row r="28" spans="1:8" ht="11.25">
      <c r="A28" s="110"/>
      <c r="B28" s="109" t="s">
        <v>276</v>
      </c>
      <c r="C28" s="120"/>
      <c r="D28" s="99"/>
      <c r="E28" s="102"/>
      <c r="F28" s="99"/>
      <c r="G28" s="99"/>
      <c r="H28" s="95">
        <f>SUM(H29:H31)</f>
        <v>0</v>
      </c>
    </row>
    <row r="29" spans="1:11" s="98" customFormat="1" ht="11.25" hidden="1">
      <c r="A29" s="110"/>
      <c r="B29" s="111"/>
      <c r="C29" s="111"/>
      <c r="D29" s="112"/>
      <c r="E29" s="113"/>
      <c r="F29" s="112"/>
      <c r="G29" s="112"/>
      <c r="H29" s="114"/>
      <c r="I29" s="115"/>
      <c r="J29" s="115"/>
      <c r="K29" s="115"/>
    </row>
    <row r="30" spans="1:11" s="98" customFormat="1" ht="11.25" hidden="1">
      <c r="A30" s="110"/>
      <c r="B30" s="111"/>
      <c r="C30" s="111"/>
      <c r="D30" s="112"/>
      <c r="E30" s="113"/>
      <c r="F30" s="112"/>
      <c r="G30" s="112"/>
      <c r="H30" s="114"/>
      <c r="I30" s="115"/>
      <c r="J30" s="115"/>
      <c r="K30" s="115"/>
    </row>
    <row r="31" spans="1:11" s="98" customFormat="1" ht="11.25" hidden="1">
      <c r="A31" s="110"/>
      <c r="B31" s="111"/>
      <c r="C31" s="111"/>
      <c r="D31" s="112"/>
      <c r="E31" s="113"/>
      <c r="F31" s="112"/>
      <c r="G31" s="112"/>
      <c r="H31" s="114"/>
      <c r="I31" s="115"/>
      <c r="J31" s="115"/>
      <c r="K31" s="115"/>
    </row>
    <row r="32" spans="1:12" ht="11.25" customHeight="1">
      <c r="A32" s="110"/>
      <c r="B32" s="204" t="s">
        <v>61</v>
      </c>
      <c r="C32" s="204"/>
      <c r="D32" s="204"/>
      <c r="E32" s="204"/>
      <c r="F32" s="204"/>
      <c r="G32" s="204"/>
      <c r="H32" s="121">
        <f>SUM(H7,H10,H20,H23)*(1+15%)</f>
        <v>0</v>
      </c>
      <c r="K32" s="122">
        <f>H10+H23+H41</f>
        <v>0</v>
      </c>
      <c r="L32" s="121">
        <f>SUM(K32)*(1+Uhikhinnad!$E$161)</f>
        <v>0</v>
      </c>
    </row>
    <row r="33" spans="1:12" ht="11.25" customHeight="1">
      <c r="A33" s="110"/>
      <c r="B33" s="204" t="s">
        <v>62</v>
      </c>
      <c r="C33" s="204"/>
      <c r="D33" s="204"/>
      <c r="E33" s="204"/>
      <c r="F33" s="204"/>
      <c r="G33" s="204"/>
      <c r="H33" s="121">
        <f>SUM(H8,H16,H21,H28)*(1+Uhikhinnad!$E$161)</f>
        <v>0</v>
      </c>
      <c r="K33" s="122">
        <v>13040000</v>
      </c>
      <c r="L33" s="121">
        <f>SUM(K33)*(1+Uhikhinnad!$E$161)</f>
        <v>14995999.999999998</v>
      </c>
    </row>
    <row r="34" spans="1:12" ht="11.25">
      <c r="A34" s="110"/>
      <c r="B34" s="205" t="s">
        <v>45</v>
      </c>
      <c r="C34" s="205"/>
      <c r="D34" s="205"/>
      <c r="E34" s="205"/>
      <c r="F34" s="205"/>
      <c r="G34" s="205"/>
      <c r="H34" s="123">
        <f>SUM(H32:H33)</f>
        <v>0</v>
      </c>
      <c r="K34" s="122"/>
      <c r="L34" s="121"/>
    </row>
    <row r="35" spans="1:8" ht="11.25">
      <c r="A35" s="124"/>
      <c r="B35" s="105" t="s">
        <v>32</v>
      </c>
      <c r="C35" s="116"/>
      <c r="D35" s="117"/>
      <c r="E35" s="118"/>
      <c r="F35" s="117"/>
      <c r="G35" s="117"/>
      <c r="H35" s="125"/>
    </row>
    <row r="36" spans="1:8" ht="11.25">
      <c r="A36" s="124"/>
      <c r="B36" s="107" t="s">
        <v>74</v>
      </c>
      <c r="C36" s="116"/>
      <c r="D36" s="117"/>
      <c r="E36" s="118"/>
      <c r="F36" s="117"/>
      <c r="G36" s="117"/>
      <c r="H36" s="125"/>
    </row>
    <row r="37" spans="1:8" ht="11.25">
      <c r="A37" s="110"/>
      <c r="B37" s="105" t="s">
        <v>270</v>
      </c>
      <c r="C37" s="126"/>
      <c r="D37" s="112"/>
      <c r="E37" s="127"/>
      <c r="F37" s="126"/>
      <c r="G37" s="126"/>
      <c r="H37" s="119"/>
    </row>
    <row r="38" spans="1:8" ht="11.25">
      <c r="A38" s="110"/>
      <c r="B38" s="109" t="s">
        <v>279</v>
      </c>
      <c r="C38" s="128"/>
      <c r="D38" s="112"/>
      <c r="E38" s="127"/>
      <c r="F38" s="126"/>
      <c r="G38" s="126"/>
      <c r="H38" s="95">
        <v>0</v>
      </c>
    </row>
    <row r="39" spans="1:9" ht="11.25">
      <c r="A39" s="110"/>
      <c r="B39" s="109" t="s">
        <v>277</v>
      </c>
      <c r="C39" s="128"/>
      <c r="D39" s="112"/>
      <c r="E39" s="127"/>
      <c r="F39" s="126"/>
      <c r="G39" s="126"/>
      <c r="H39" s="95">
        <v>0</v>
      </c>
      <c r="I39" s="106"/>
    </row>
    <row r="40" spans="1:8" ht="11.25">
      <c r="A40" s="110"/>
      <c r="B40" s="105" t="s">
        <v>123</v>
      </c>
      <c r="C40" s="126"/>
      <c r="D40" s="112"/>
      <c r="E40" s="127"/>
      <c r="F40" s="126"/>
      <c r="G40" s="126"/>
      <c r="H40" s="119"/>
    </row>
    <row r="41" spans="1:8" ht="11.25">
      <c r="A41" s="110"/>
      <c r="B41" s="109" t="s">
        <v>280</v>
      </c>
      <c r="C41" s="128"/>
      <c r="D41" s="112"/>
      <c r="E41" s="127"/>
      <c r="F41" s="126"/>
      <c r="G41" s="126"/>
      <c r="H41" s="131">
        <f>SUM(H42:H46)</f>
        <v>0</v>
      </c>
    </row>
    <row r="42" spans="1:8" ht="11.25" hidden="1">
      <c r="A42" s="110" t="s">
        <v>152</v>
      </c>
      <c r="B42" s="111" t="s">
        <v>227</v>
      </c>
      <c r="C42" s="111" t="s">
        <v>24</v>
      </c>
      <c r="D42" s="112" t="s">
        <v>25</v>
      </c>
      <c r="E42" s="113"/>
      <c r="F42" s="112">
        <v>90</v>
      </c>
      <c r="G42" s="112"/>
      <c r="H42" s="114">
        <f>E42*F42+G42</f>
        <v>0</v>
      </c>
    </row>
    <row r="43" spans="1:8" ht="11.25" hidden="1">
      <c r="A43" s="110" t="s">
        <v>153</v>
      </c>
      <c r="B43" s="111" t="s">
        <v>228</v>
      </c>
      <c r="C43" s="111" t="s">
        <v>57</v>
      </c>
      <c r="D43" s="112" t="s">
        <v>25</v>
      </c>
      <c r="E43" s="113"/>
      <c r="F43" s="112">
        <v>60</v>
      </c>
      <c r="G43" s="112"/>
      <c r="H43" s="114">
        <f>E43*F43+G43</f>
        <v>0</v>
      </c>
    </row>
    <row r="44" spans="1:8" ht="11.25" hidden="1">
      <c r="A44" s="110" t="s">
        <v>157</v>
      </c>
      <c r="B44" s="111" t="s">
        <v>228</v>
      </c>
      <c r="C44" s="111" t="s">
        <v>24</v>
      </c>
      <c r="D44" s="112" t="s">
        <v>25</v>
      </c>
      <c r="E44" s="113"/>
      <c r="F44" s="112">
        <v>75</v>
      </c>
      <c r="G44" s="112"/>
      <c r="H44" s="114">
        <f>E44*F44+G44</f>
        <v>0</v>
      </c>
    </row>
    <row r="45" spans="1:8" ht="11.25" hidden="1">
      <c r="A45" s="110" t="s">
        <v>160</v>
      </c>
      <c r="B45" s="111" t="s">
        <v>229</v>
      </c>
      <c r="C45" s="111" t="s">
        <v>232</v>
      </c>
      <c r="D45" s="112" t="s">
        <v>59</v>
      </c>
      <c r="E45" s="113"/>
      <c r="F45" s="112">
        <v>21500</v>
      </c>
      <c r="G45" s="112"/>
      <c r="H45" s="114">
        <f>E45*F45+G45</f>
        <v>0</v>
      </c>
    </row>
    <row r="46" spans="1:8" ht="11.25" hidden="1">
      <c r="A46" s="110" t="s">
        <v>161</v>
      </c>
      <c r="B46" s="111" t="s">
        <v>230</v>
      </c>
      <c r="C46" s="111" t="s">
        <v>231</v>
      </c>
      <c r="D46" s="112" t="s">
        <v>59</v>
      </c>
      <c r="E46" s="113"/>
      <c r="F46" s="112">
        <v>31500</v>
      </c>
      <c r="G46" s="112"/>
      <c r="H46" s="114">
        <f>E46*F46+G46</f>
        <v>0</v>
      </c>
    </row>
    <row r="47" spans="1:9" ht="11.25">
      <c r="A47" s="110"/>
      <c r="B47" s="109" t="s">
        <v>278</v>
      </c>
      <c r="C47" s="128"/>
      <c r="D47" s="112"/>
      <c r="E47" s="127"/>
      <c r="F47" s="126"/>
      <c r="G47" s="126"/>
      <c r="H47" s="95">
        <f>SUM(H48:H48)</f>
        <v>0</v>
      </c>
      <c r="I47" s="106"/>
    </row>
    <row r="48" spans="1:8" ht="11.25">
      <c r="A48" s="110"/>
      <c r="B48" s="111"/>
      <c r="C48" s="111"/>
      <c r="D48" s="112"/>
      <c r="E48" s="113"/>
      <c r="F48" s="112"/>
      <c r="G48" s="112"/>
      <c r="H48" s="114"/>
    </row>
    <row r="49" spans="1:8" ht="11.25">
      <c r="A49" s="124"/>
      <c r="B49" s="107" t="s">
        <v>75</v>
      </c>
      <c r="C49" s="116"/>
      <c r="D49" s="117"/>
      <c r="E49" s="118"/>
      <c r="F49" s="117"/>
      <c r="G49" s="117"/>
      <c r="H49" s="125"/>
    </row>
    <row r="50" spans="1:8" ht="11.25">
      <c r="A50" s="110"/>
      <c r="B50" s="105" t="s">
        <v>287</v>
      </c>
      <c r="C50" s="126"/>
      <c r="D50" s="112"/>
      <c r="E50" s="127"/>
      <c r="F50" s="126"/>
      <c r="G50" s="126"/>
      <c r="H50" s="119"/>
    </row>
    <row r="51" spans="1:8" ht="11.25">
      <c r="A51" s="110"/>
      <c r="B51" s="109" t="s">
        <v>93</v>
      </c>
      <c r="C51" s="128"/>
      <c r="D51" s="112"/>
      <c r="E51" s="127"/>
      <c r="F51" s="126"/>
      <c r="G51" s="126"/>
      <c r="H51" s="95">
        <v>0</v>
      </c>
    </row>
    <row r="52" spans="1:9" ht="11.25">
      <c r="A52" s="110"/>
      <c r="B52" s="109" t="s">
        <v>94</v>
      </c>
      <c r="C52" s="128"/>
      <c r="D52" s="112"/>
      <c r="E52" s="127"/>
      <c r="F52" s="126"/>
      <c r="G52" s="126"/>
      <c r="H52" s="95">
        <v>0</v>
      </c>
      <c r="I52" s="106"/>
    </row>
    <row r="53" spans="1:8" ht="11.25">
      <c r="A53" s="110"/>
      <c r="B53" s="105" t="s">
        <v>288</v>
      </c>
      <c r="C53" s="126"/>
      <c r="D53" s="112"/>
      <c r="E53" s="127"/>
      <c r="F53" s="126"/>
      <c r="G53" s="126"/>
      <c r="H53" s="119"/>
    </row>
    <row r="54" spans="1:8" ht="11.25">
      <c r="A54" s="110"/>
      <c r="B54" s="109" t="s">
        <v>95</v>
      </c>
      <c r="C54" s="128"/>
      <c r="D54" s="112"/>
      <c r="E54" s="127"/>
      <c r="F54" s="126"/>
      <c r="G54" s="126"/>
      <c r="H54" s="95">
        <v>0</v>
      </c>
    </row>
    <row r="55" spans="1:9" ht="11.25">
      <c r="A55" s="110"/>
      <c r="B55" s="109" t="s">
        <v>96</v>
      </c>
      <c r="C55" s="128"/>
      <c r="D55" s="112"/>
      <c r="E55" s="127"/>
      <c r="F55" s="126"/>
      <c r="G55" s="126"/>
      <c r="H55" s="95">
        <f>H56</f>
        <v>0</v>
      </c>
      <c r="I55" s="106"/>
    </row>
    <row r="56" spans="1:8" ht="11.25" hidden="1">
      <c r="A56" s="110"/>
      <c r="B56" s="111"/>
      <c r="C56" s="111"/>
      <c r="D56" s="112"/>
      <c r="E56" s="113"/>
      <c r="F56" s="112"/>
      <c r="G56" s="112"/>
      <c r="H56" s="114"/>
    </row>
    <row r="57" spans="1:10" ht="11.25" customHeight="1">
      <c r="A57" s="110"/>
      <c r="B57" s="204" t="s">
        <v>61</v>
      </c>
      <c r="C57" s="204"/>
      <c r="D57" s="204"/>
      <c r="E57" s="204"/>
      <c r="F57" s="204"/>
      <c r="G57" s="204"/>
      <c r="H57" s="121">
        <f>SUM(H38,H41,H51,H54)*(1+15%)</f>
        <v>0</v>
      </c>
      <c r="J57" s="122"/>
    </row>
    <row r="58" spans="1:12" ht="11.25" customHeight="1">
      <c r="A58" s="110"/>
      <c r="B58" s="204" t="s">
        <v>62</v>
      </c>
      <c r="C58" s="204"/>
      <c r="D58" s="204"/>
      <c r="E58" s="204"/>
      <c r="F58" s="204"/>
      <c r="G58" s="204"/>
      <c r="H58" s="121">
        <f>SUM(H39,H47,H52,H55)*(1+Uhikhinnad!$E$161)</f>
        <v>0</v>
      </c>
      <c r="L58" s="122"/>
    </row>
    <row r="59" spans="1:12" ht="11.25">
      <c r="A59" s="129"/>
      <c r="B59" s="205" t="s">
        <v>13</v>
      </c>
      <c r="C59" s="205"/>
      <c r="D59" s="205"/>
      <c r="E59" s="205"/>
      <c r="F59" s="205"/>
      <c r="G59" s="205"/>
      <c r="H59" s="123">
        <f>SUM(H57:H58)</f>
        <v>0</v>
      </c>
      <c r="J59" s="122"/>
      <c r="L59" s="122"/>
    </row>
    <row r="60" spans="1:8" ht="11.25" hidden="1">
      <c r="A60" s="129"/>
      <c r="B60" s="105" t="s">
        <v>133</v>
      </c>
      <c r="C60" s="126"/>
      <c r="D60" s="126"/>
      <c r="E60" s="112"/>
      <c r="F60" s="126"/>
      <c r="G60" s="126"/>
      <c r="H60" s="130"/>
    </row>
    <row r="61" spans="1:8" ht="11.25" hidden="1">
      <c r="A61" s="129"/>
      <c r="B61" s="107" t="s">
        <v>88</v>
      </c>
      <c r="C61" s="126"/>
      <c r="D61" s="126"/>
      <c r="E61" s="112"/>
      <c r="F61" s="126"/>
      <c r="G61" s="126"/>
      <c r="H61" s="130"/>
    </row>
    <row r="62" spans="2:10" ht="11.25" customHeight="1" hidden="1">
      <c r="B62" s="105" t="s">
        <v>131</v>
      </c>
      <c r="C62" s="126"/>
      <c r="D62" s="126"/>
      <c r="E62" s="112"/>
      <c r="F62" s="126"/>
      <c r="G62" s="126"/>
      <c r="H62" s="130"/>
      <c r="J62" s="122"/>
    </row>
    <row r="63" spans="2:8" ht="11.25" customHeight="1" hidden="1">
      <c r="B63" s="109" t="s">
        <v>281</v>
      </c>
      <c r="C63" s="126"/>
      <c r="D63" s="126"/>
      <c r="E63" s="112"/>
      <c r="F63" s="126"/>
      <c r="G63" s="126"/>
      <c r="H63" s="95">
        <f>H64</f>
        <v>0</v>
      </c>
    </row>
    <row r="64" spans="1:8" s="98" customFormat="1" ht="11.25" hidden="1">
      <c r="A64" s="110">
        <v>1008</v>
      </c>
      <c r="B64" s="111" t="str">
        <f>VLOOKUP(A64,Uhikhinnad!$A$6:$F$156,2,FALSE)</f>
        <v>Sademevee uuringud, geodeetilised mõõdistused ja perspektiivskeem</v>
      </c>
      <c r="C64" s="111">
        <f>VLOOKUP(A64,Uhikhinnad!$A$6:$F$156,3,FALSE)</f>
        <v>0</v>
      </c>
      <c r="D64" s="112" t="str">
        <f>VLOOKUP(A64,Uhikhinnad!$A$6:$F$156,4,FALSE)</f>
        <v>tk</v>
      </c>
      <c r="E64" s="113"/>
      <c r="F64" s="112"/>
      <c r="G64" s="112">
        <f>VLOOKUP(A64,Uhikhinnad!$A$6:$F$156,6,FALSE)</f>
        <v>0</v>
      </c>
      <c r="H64" s="114">
        <f>E64*F64+G64</f>
        <v>0</v>
      </c>
    </row>
    <row r="65" spans="2:8" ht="11.25" customHeight="1" hidden="1">
      <c r="B65" s="109" t="s">
        <v>98</v>
      </c>
      <c r="C65" s="126"/>
      <c r="D65" s="126"/>
      <c r="E65" s="112"/>
      <c r="F65" s="126"/>
      <c r="G65" s="126"/>
      <c r="H65" s="95">
        <f>SUM(H66:H66)</f>
        <v>0</v>
      </c>
    </row>
    <row r="66" spans="1:8" s="98" customFormat="1" ht="11.25" hidden="1">
      <c r="A66" s="110" t="s">
        <v>292</v>
      </c>
      <c r="B66" s="111" t="str">
        <f>VLOOKUP(A66,Uhikhinnad!$A$6:$F$156,2,FALSE)</f>
        <v>kraavi rekonstrueerimine</v>
      </c>
      <c r="C66" s="111" t="str">
        <f>VLOOKUP(A66,Uhikhinnad!$A$6:$F$156,3,FALSE)</f>
        <v>kraav ja truubid</v>
      </c>
      <c r="D66" s="112" t="str">
        <f>VLOOKUP(A66,Uhikhinnad!$A$6:$F$156,4,FALSE)</f>
        <v>m</v>
      </c>
      <c r="E66" s="113"/>
      <c r="F66" s="112"/>
      <c r="G66" s="112">
        <f>VLOOKUP(A66,Uhikhinnad!$A$6:$F$156,6,FALSE)</f>
        <v>0</v>
      </c>
      <c r="H66" s="114">
        <f>E66*F66+G66</f>
        <v>0</v>
      </c>
    </row>
    <row r="67" ht="11.25" customHeight="1" hidden="1">
      <c r="B67" s="105" t="s">
        <v>132</v>
      </c>
    </row>
    <row r="68" spans="2:8" ht="11.25" customHeight="1" hidden="1">
      <c r="B68" s="109" t="s">
        <v>99</v>
      </c>
      <c r="H68" s="95">
        <v>0</v>
      </c>
    </row>
    <row r="69" spans="2:8" ht="11.25" customHeight="1" hidden="1">
      <c r="B69" s="109" t="s">
        <v>100</v>
      </c>
      <c r="H69" s="95">
        <v>0</v>
      </c>
    </row>
    <row r="70" spans="1:8" ht="11.25" customHeight="1" hidden="1">
      <c r="A70" s="110"/>
      <c r="B70" s="204" t="s">
        <v>61</v>
      </c>
      <c r="C70" s="204"/>
      <c r="D70" s="204"/>
      <c r="E70" s="204"/>
      <c r="F70" s="204"/>
      <c r="G70" s="204"/>
      <c r="H70" s="121">
        <f>SUM(H63,H68)*(1+15%)</f>
        <v>0</v>
      </c>
    </row>
    <row r="71" spans="1:12" ht="11.25" customHeight="1" hidden="1">
      <c r="A71" s="110"/>
      <c r="B71" s="204" t="s">
        <v>62</v>
      </c>
      <c r="C71" s="204"/>
      <c r="D71" s="204"/>
      <c r="E71" s="204"/>
      <c r="F71" s="204"/>
      <c r="G71" s="204"/>
      <c r="H71" s="121">
        <f>SUM(H65,H69)*(1+15%)</f>
        <v>0</v>
      </c>
      <c r="L71" s="122"/>
    </row>
    <row r="72" spans="1:12" ht="11.25" hidden="1">
      <c r="A72" s="129"/>
      <c r="B72" s="205" t="s">
        <v>305</v>
      </c>
      <c r="C72" s="205"/>
      <c r="D72" s="205"/>
      <c r="E72" s="205"/>
      <c r="F72" s="205"/>
      <c r="G72" s="205"/>
      <c r="H72" s="123">
        <f>SUM(H70:H71)</f>
        <v>0</v>
      </c>
      <c r="L72" s="122"/>
    </row>
    <row r="73" ht="11.25" customHeight="1" hidden="1"/>
    <row r="74" ht="11.25" customHeight="1" hidden="1"/>
    <row r="75" spans="7:8" ht="11.25" customHeight="1" hidden="1">
      <c r="G75" s="98" t="s">
        <v>353</v>
      </c>
      <c r="H75" s="97">
        <f>H32+H57+H70</f>
        <v>0</v>
      </c>
    </row>
    <row r="76" spans="7:8" ht="11.25" customHeight="1" hidden="1">
      <c r="G76" s="98" t="s">
        <v>354</v>
      </c>
      <c r="H76" s="97">
        <f>H33+H58+H71</f>
        <v>0</v>
      </c>
    </row>
    <row r="77" spans="7:8" ht="11.25" customHeight="1" hidden="1">
      <c r="G77" s="98" t="s">
        <v>68</v>
      </c>
      <c r="H77" s="97">
        <f>H75+H76</f>
        <v>0</v>
      </c>
    </row>
  </sheetData>
  <sheetProtection/>
  <mergeCells count="9">
    <mergeCell ref="B70:G70"/>
    <mergeCell ref="B71:G71"/>
    <mergeCell ref="B72:G72"/>
    <mergeCell ref="B32:G32"/>
    <mergeCell ref="B33:G33"/>
    <mergeCell ref="B34:G34"/>
    <mergeCell ref="B57:G57"/>
    <mergeCell ref="B58:G58"/>
    <mergeCell ref="B59:G5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B1">
      <selection activeCell="E19" sqref="E19"/>
    </sheetView>
  </sheetViews>
  <sheetFormatPr defaultColWidth="9.140625" defaultRowHeight="11.25" customHeight="1"/>
  <cols>
    <col min="1" max="1" width="6.00390625" style="96" hidden="1" customWidth="1"/>
    <col min="2" max="2" width="46.0039062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hidden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327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H4" s="141"/>
      <c r="I4" s="106"/>
      <c r="J4" s="106"/>
      <c r="K4" s="106"/>
    </row>
    <row r="5" spans="1:11" ht="11.25">
      <c r="A5" s="7"/>
      <c r="B5" s="107" t="s">
        <v>72</v>
      </c>
      <c r="H5" s="141"/>
      <c r="I5" s="106"/>
      <c r="J5" s="106"/>
      <c r="K5" s="106"/>
    </row>
    <row r="6" spans="1:11" ht="11.25">
      <c r="A6" s="7"/>
      <c r="B6" s="108" t="s">
        <v>87</v>
      </c>
      <c r="H6" s="141"/>
      <c r="I6" s="106"/>
      <c r="J6" s="106"/>
      <c r="K6" s="106"/>
    </row>
    <row r="7" spans="1:11" ht="11.25">
      <c r="A7" s="7"/>
      <c r="B7" s="109" t="s">
        <v>89</v>
      </c>
      <c r="H7" s="142">
        <v>0</v>
      </c>
      <c r="I7" s="106"/>
      <c r="J7" s="106"/>
      <c r="K7" s="106"/>
    </row>
    <row r="8" spans="1:11" ht="11.25">
      <c r="A8" s="7"/>
      <c r="B8" s="109" t="s">
        <v>90</v>
      </c>
      <c r="H8" s="142">
        <v>0</v>
      </c>
      <c r="J8" s="106"/>
      <c r="K8" s="106"/>
    </row>
    <row r="9" spans="1:11" ht="11.25">
      <c r="A9" s="7"/>
      <c r="B9" s="108" t="s">
        <v>271</v>
      </c>
      <c r="H9" s="141"/>
      <c r="I9" s="106"/>
      <c r="J9" s="106"/>
      <c r="K9" s="106"/>
    </row>
    <row r="10" spans="1:11" ht="11.25">
      <c r="A10" s="7"/>
      <c r="B10" s="109" t="s">
        <v>91</v>
      </c>
      <c r="H10" s="142">
        <f>SUM(H11:H20)</f>
        <v>182900</v>
      </c>
      <c r="I10" s="106"/>
      <c r="J10" s="106"/>
      <c r="K10" s="106"/>
    </row>
    <row r="11" spans="1:11" s="98" customFormat="1" ht="11.25">
      <c r="A11" s="110">
        <v>101</v>
      </c>
      <c r="B11" s="111" t="s">
        <v>44</v>
      </c>
      <c r="C11" s="111"/>
      <c r="D11" s="112" t="s">
        <v>25</v>
      </c>
      <c r="E11" s="113">
        <v>80</v>
      </c>
      <c r="F11" s="112">
        <v>220</v>
      </c>
      <c r="G11" s="112"/>
      <c r="H11" s="143">
        <f>E11*F11+G11</f>
        <v>17600</v>
      </c>
      <c r="I11" s="115"/>
      <c r="J11" s="115"/>
      <c r="K11" s="115"/>
    </row>
    <row r="12" spans="1:11" s="98" customFormat="1" ht="11.25">
      <c r="A12" s="110">
        <v>104</v>
      </c>
      <c r="B12" s="111" t="s">
        <v>42</v>
      </c>
      <c r="C12" s="111"/>
      <c r="D12" s="112" t="s">
        <v>59</v>
      </c>
      <c r="E12" s="113">
        <v>1</v>
      </c>
      <c r="F12" s="112">
        <v>31800</v>
      </c>
      <c r="G12" s="112"/>
      <c r="H12" s="143">
        <f aca="true" t="shared" si="0" ref="H12:H19">E12*F12+G12</f>
        <v>31800</v>
      </c>
      <c r="I12" s="115"/>
      <c r="J12" s="115"/>
      <c r="K12" s="115"/>
    </row>
    <row r="13" spans="1:11" s="98" customFormat="1" ht="11.25">
      <c r="A13" s="110" t="s">
        <v>140</v>
      </c>
      <c r="B13" s="111" t="s">
        <v>188</v>
      </c>
      <c r="C13" s="111" t="s">
        <v>357</v>
      </c>
      <c r="D13" s="112" t="s">
        <v>59</v>
      </c>
      <c r="E13" s="113">
        <v>1</v>
      </c>
      <c r="F13" s="112">
        <v>25000</v>
      </c>
      <c r="G13" s="112"/>
      <c r="H13" s="143">
        <f t="shared" si="0"/>
        <v>25000</v>
      </c>
      <c r="I13" s="115"/>
      <c r="J13" s="115"/>
      <c r="K13" s="115"/>
    </row>
    <row r="14" spans="1:11" s="98" customFormat="1" ht="11.25">
      <c r="A14" s="110" t="s">
        <v>136</v>
      </c>
      <c r="B14" s="111" t="s">
        <v>211</v>
      </c>
      <c r="C14" s="111"/>
      <c r="D14" s="112" t="s">
        <v>59</v>
      </c>
      <c r="E14" s="113">
        <v>1</v>
      </c>
      <c r="F14" s="112">
        <v>50000</v>
      </c>
      <c r="G14" s="112"/>
      <c r="H14" s="143">
        <f t="shared" si="0"/>
        <v>50000</v>
      </c>
      <c r="I14" s="115"/>
      <c r="J14" s="115"/>
      <c r="K14" s="115"/>
    </row>
    <row r="15" spans="1:11" s="98" customFormat="1" ht="11.25">
      <c r="A15" s="110" t="s">
        <v>202</v>
      </c>
      <c r="B15" s="111" t="s">
        <v>194</v>
      </c>
      <c r="C15" s="111"/>
      <c r="D15" s="112" t="s">
        <v>59</v>
      </c>
      <c r="E15" s="113">
        <v>1</v>
      </c>
      <c r="F15" s="112">
        <v>7500</v>
      </c>
      <c r="G15" s="112"/>
      <c r="H15" s="143">
        <f t="shared" si="0"/>
        <v>7500</v>
      </c>
      <c r="I15" s="115"/>
      <c r="J15" s="115"/>
      <c r="K15" s="115"/>
    </row>
    <row r="16" spans="1:11" s="98" customFormat="1" ht="11.25">
      <c r="A16" s="110" t="s">
        <v>151</v>
      </c>
      <c r="B16" s="111" t="s">
        <v>285</v>
      </c>
      <c r="C16" s="111"/>
      <c r="D16" s="112" t="s">
        <v>59</v>
      </c>
      <c r="E16" s="113">
        <v>1</v>
      </c>
      <c r="F16" s="112">
        <v>15000</v>
      </c>
      <c r="G16" s="112"/>
      <c r="H16" s="143">
        <f t="shared" si="0"/>
        <v>15000</v>
      </c>
      <c r="I16" s="115"/>
      <c r="J16" s="115"/>
      <c r="K16" s="115"/>
    </row>
    <row r="17" spans="1:11" s="98" customFormat="1" ht="11.25">
      <c r="A17" s="110">
        <v>601</v>
      </c>
      <c r="B17" s="111" t="s">
        <v>186</v>
      </c>
      <c r="C17" s="111"/>
      <c r="D17" s="112" t="s">
        <v>59</v>
      </c>
      <c r="E17" s="113">
        <v>1</v>
      </c>
      <c r="F17" s="112">
        <v>20000</v>
      </c>
      <c r="G17" s="112"/>
      <c r="H17" s="143">
        <f t="shared" si="0"/>
        <v>20000</v>
      </c>
      <c r="I17" s="115"/>
      <c r="J17" s="115"/>
      <c r="K17" s="115"/>
    </row>
    <row r="18" spans="1:11" s="98" customFormat="1" ht="11.25">
      <c r="A18" s="110" t="s">
        <v>256</v>
      </c>
      <c r="B18" s="111" t="s">
        <v>286</v>
      </c>
      <c r="C18" s="111" t="s">
        <v>121</v>
      </c>
      <c r="D18" s="112" t="s">
        <v>25</v>
      </c>
      <c r="E18" s="113">
        <v>200</v>
      </c>
      <c r="F18" s="112">
        <v>35</v>
      </c>
      <c r="G18" s="112"/>
      <c r="H18" s="143">
        <f t="shared" si="0"/>
        <v>7000</v>
      </c>
      <c r="I18" s="115"/>
      <c r="J18" s="115"/>
      <c r="K18" s="115"/>
    </row>
    <row r="19" spans="1:11" s="98" customFormat="1" ht="11.25">
      <c r="A19" s="110"/>
      <c r="B19" s="111" t="s">
        <v>358</v>
      </c>
      <c r="C19" s="111"/>
      <c r="D19" s="112" t="s">
        <v>36</v>
      </c>
      <c r="E19" s="113">
        <v>300</v>
      </c>
      <c r="F19" s="112">
        <v>5</v>
      </c>
      <c r="G19" s="112"/>
      <c r="H19" s="143">
        <f t="shared" si="0"/>
        <v>1500</v>
      </c>
      <c r="I19" s="115"/>
      <c r="J19" s="115"/>
      <c r="K19" s="115"/>
    </row>
    <row r="20" spans="1:11" s="98" customFormat="1" ht="11.25">
      <c r="A20" s="110"/>
      <c r="B20" s="111" t="s">
        <v>330</v>
      </c>
      <c r="C20" s="111"/>
      <c r="D20" s="112" t="s">
        <v>36</v>
      </c>
      <c r="E20" s="113">
        <v>250</v>
      </c>
      <c r="F20" s="112">
        <v>30</v>
      </c>
      <c r="G20" s="112"/>
      <c r="H20" s="143">
        <f>E20*F20+G20</f>
        <v>7500</v>
      </c>
      <c r="I20" s="115"/>
      <c r="J20" s="115"/>
      <c r="K20" s="115"/>
    </row>
    <row r="21" spans="1:11" ht="11.25">
      <c r="A21" s="7"/>
      <c r="B21" s="109" t="s">
        <v>92</v>
      </c>
      <c r="H21" s="142">
        <v>0</v>
      </c>
      <c r="J21" s="106"/>
      <c r="K21" s="106"/>
    </row>
    <row r="22" spans="1:11" ht="11.25">
      <c r="A22" s="7"/>
      <c r="B22" s="107" t="s">
        <v>73</v>
      </c>
      <c r="H22" s="141"/>
      <c r="J22" s="106"/>
      <c r="K22" s="106"/>
    </row>
    <row r="23" spans="1:8" ht="11.25">
      <c r="A23" s="110"/>
      <c r="B23" s="108" t="s">
        <v>272</v>
      </c>
      <c r="C23" s="116"/>
      <c r="D23" s="117"/>
      <c r="E23" s="118"/>
      <c r="F23" s="117"/>
      <c r="G23" s="117"/>
      <c r="H23" s="144"/>
    </row>
    <row r="24" spans="1:8" ht="11.25">
      <c r="A24" s="110"/>
      <c r="B24" s="109" t="s">
        <v>273</v>
      </c>
      <c r="C24" s="116"/>
      <c r="D24" s="117"/>
      <c r="E24" s="118"/>
      <c r="F24" s="117"/>
      <c r="G24" s="117"/>
      <c r="H24" s="142">
        <v>0</v>
      </c>
    </row>
    <row r="25" spans="1:8" ht="11.25">
      <c r="A25" s="110"/>
      <c r="B25" s="109" t="s">
        <v>275</v>
      </c>
      <c r="C25" s="120"/>
      <c r="D25" s="99"/>
      <c r="E25" s="102"/>
      <c r="F25" s="99"/>
      <c r="G25" s="99"/>
      <c r="H25" s="142">
        <v>0</v>
      </c>
    </row>
    <row r="26" spans="1:10" ht="11.25">
      <c r="A26" s="110"/>
      <c r="B26" s="108" t="s">
        <v>82</v>
      </c>
      <c r="C26" s="116"/>
      <c r="D26" s="117"/>
      <c r="E26" s="118"/>
      <c r="F26" s="117"/>
      <c r="G26" s="117"/>
      <c r="H26" s="144"/>
      <c r="J26" s="122"/>
    </row>
    <row r="27" spans="1:11" ht="11.25">
      <c r="A27" s="110"/>
      <c r="B27" s="109" t="s">
        <v>274</v>
      </c>
      <c r="C27" s="116"/>
      <c r="D27" s="117"/>
      <c r="E27" s="118"/>
      <c r="F27" s="117"/>
      <c r="G27" s="117"/>
      <c r="H27" s="142">
        <f>SUM(H28:H29)</f>
        <v>481800</v>
      </c>
      <c r="K27" s="106"/>
    </row>
    <row r="28" spans="1:11" s="98" customFormat="1" ht="11.25">
      <c r="A28" s="110" t="s">
        <v>163</v>
      </c>
      <c r="B28" s="111" t="str">
        <f>VLOOKUP(A28,Uhikhinnad!$A$6:$F$156,2,FALSE)</f>
        <v>veetoru</v>
      </c>
      <c r="C28" s="111" t="str">
        <f>VLOOKUP(A28,Uhikhinnad!$A$6:$F$156,3,FALSE)</f>
        <v>De32-De110</v>
      </c>
      <c r="D28" s="112" t="str">
        <f>VLOOKUP(A28,Uhikhinnad!$A$6:$F$156,4,FALSE)</f>
        <v>m</v>
      </c>
      <c r="E28" s="113">
        <v>5515</v>
      </c>
      <c r="F28" s="112">
        <v>80</v>
      </c>
      <c r="G28" s="112">
        <f>VLOOKUP(A28,Uhikhinnad!$A$6:$F$156,6,FALSE)</f>
        <v>0</v>
      </c>
      <c r="H28" s="143">
        <f>E28*F28+G28</f>
        <v>441200</v>
      </c>
      <c r="I28" s="115"/>
      <c r="J28" s="115"/>
      <c r="K28" s="115"/>
    </row>
    <row r="29" spans="1:11" s="98" customFormat="1" ht="11.25">
      <c r="A29" s="110">
        <v>202</v>
      </c>
      <c r="B29" s="111" t="str">
        <f>VLOOKUP(A29,Uhikhinnad!$A$6:$F$156,2,FALSE)</f>
        <v>majaühendus</v>
      </c>
      <c r="C29" s="111" t="str">
        <f>VLOOKUP(A29,Uhikhinnad!$A$6:$F$156,3,FALSE)</f>
        <v>Toru, maakraan, otsakork</v>
      </c>
      <c r="D29" s="112" t="str">
        <f>VLOOKUP(A29,Uhikhinnad!$A$6:$F$156,4,FALSE)</f>
        <v>kmpl</v>
      </c>
      <c r="E29" s="113">
        <v>145</v>
      </c>
      <c r="F29" s="112">
        <v>280</v>
      </c>
      <c r="G29" s="112">
        <f>VLOOKUP(A29,Uhikhinnad!$A$6:$F$156,6,FALSE)</f>
        <v>0</v>
      </c>
      <c r="H29" s="143">
        <f>E29*F29+G29</f>
        <v>40600</v>
      </c>
      <c r="I29" s="115"/>
      <c r="J29" s="115"/>
      <c r="K29" s="115"/>
    </row>
    <row r="30" spans="1:8" ht="11.25">
      <c r="A30" s="110"/>
      <c r="B30" s="109" t="s">
        <v>276</v>
      </c>
      <c r="C30" s="120"/>
      <c r="D30" s="99"/>
      <c r="E30" s="102"/>
      <c r="F30" s="99"/>
      <c r="G30" s="99"/>
      <c r="H30" s="142">
        <v>0</v>
      </c>
    </row>
    <row r="31" spans="1:12" ht="11.25" customHeight="1">
      <c r="A31" s="110"/>
      <c r="B31" s="204" t="s">
        <v>61</v>
      </c>
      <c r="C31" s="204"/>
      <c r="D31" s="204"/>
      <c r="E31" s="204"/>
      <c r="F31" s="204"/>
      <c r="G31" s="204"/>
      <c r="H31" s="144">
        <f>SUM(H7,H10,H24,H27)*(1+13.5%)</f>
        <v>754434.5</v>
      </c>
      <c r="K31" s="122">
        <f>H10+H27+H40</f>
        <v>1634350</v>
      </c>
      <c r="L31" s="121">
        <f>SUM(K31)*(1+Uhikhinnad!$E$161)</f>
        <v>1879502.4999999998</v>
      </c>
    </row>
    <row r="32" spans="1:12" ht="11.25" customHeight="1">
      <c r="A32" s="110"/>
      <c r="B32" s="204" t="s">
        <v>62</v>
      </c>
      <c r="C32" s="204"/>
      <c r="D32" s="204"/>
      <c r="E32" s="204"/>
      <c r="F32" s="204"/>
      <c r="G32" s="204"/>
      <c r="H32" s="144">
        <f>SUM(H8,H21,H25,H30)*(1+Uhikhinnad!$E$161)</f>
        <v>0</v>
      </c>
      <c r="K32" s="122">
        <v>13040000</v>
      </c>
      <c r="L32" s="121">
        <f>SUM(K32)*(1+Uhikhinnad!$E$161)</f>
        <v>14995999.999999998</v>
      </c>
    </row>
    <row r="33" spans="1:12" ht="11.25">
      <c r="A33" s="110"/>
      <c r="B33" s="205" t="s">
        <v>45</v>
      </c>
      <c r="C33" s="205"/>
      <c r="D33" s="205"/>
      <c r="E33" s="205"/>
      <c r="F33" s="205"/>
      <c r="G33" s="205"/>
      <c r="H33" s="145">
        <f>SUM(H31:H32)</f>
        <v>754434.5</v>
      </c>
      <c r="K33" s="122"/>
      <c r="L33" s="121"/>
    </row>
    <row r="34" spans="1:8" ht="11.25">
      <c r="A34" s="124"/>
      <c r="B34" s="105" t="s">
        <v>32</v>
      </c>
      <c r="C34" s="116"/>
      <c r="D34" s="117"/>
      <c r="E34" s="118"/>
      <c r="F34" s="117"/>
      <c r="G34" s="117"/>
      <c r="H34" s="146"/>
    </row>
    <row r="35" spans="1:8" ht="11.25">
      <c r="A35" s="124"/>
      <c r="B35" s="107" t="s">
        <v>74</v>
      </c>
      <c r="C35" s="116"/>
      <c r="D35" s="117"/>
      <c r="E35" s="118"/>
      <c r="F35" s="117"/>
      <c r="G35" s="117"/>
      <c r="H35" s="146"/>
    </row>
    <row r="36" spans="1:8" ht="11.25">
      <c r="A36" s="110"/>
      <c r="B36" s="105" t="s">
        <v>270</v>
      </c>
      <c r="C36" s="126"/>
      <c r="D36" s="112"/>
      <c r="E36" s="127"/>
      <c r="F36" s="126"/>
      <c r="G36" s="126"/>
      <c r="H36" s="144"/>
    </row>
    <row r="37" spans="1:8" ht="11.25">
      <c r="A37" s="110"/>
      <c r="B37" s="109" t="s">
        <v>279</v>
      </c>
      <c r="C37" s="128"/>
      <c r="D37" s="112"/>
      <c r="E37" s="127"/>
      <c r="F37" s="126"/>
      <c r="G37" s="126"/>
      <c r="H37" s="142">
        <v>0</v>
      </c>
    </row>
    <row r="38" spans="1:9" ht="11.25">
      <c r="A38" s="110"/>
      <c r="B38" s="109" t="s">
        <v>277</v>
      </c>
      <c r="C38" s="128"/>
      <c r="D38" s="112"/>
      <c r="E38" s="127"/>
      <c r="F38" s="126"/>
      <c r="G38" s="126"/>
      <c r="H38" s="142">
        <v>0</v>
      </c>
      <c r="I38" s="106"/>
    </row>
    <row r="39" spans="1:8" ht="11.25">
      <c r="A39" s="110"/>
      <c r="B39" s="105" t="s">
        <v>123</v>
      </c>
      <c r="C39" s="126"/>
      <c r="D39" s="112"/>
      <c r="E39" s="127"/>
      <c r="F39" s="126"/>
      <c r="G39" s="126"/>
      <c r="H39" s="144"/>
    </row>
    <row r="40" spans="1:8" ht="11.25">
      <c r="A40" s="110"/>
      <c r="B40" s="109" t="s">
        <v>280</v>
      </c>
      <c r="C40" s="128"/>
      <c r="D40" s="112"/>
      <c r="E40" s="127"/>
      <c r="F40" s="126"/>
      <c r="G40" s="126"/>
      <c r="H40" s="142">
        <f>SUM(H41:H48)</f>
        <v>969650</v>
      </c>
    </row>
    <row r="41" spans="1:8" ht="11.25">
      <c r="A41" s="110" t="s">
        <v>152</v>
      </c>
      <c r="B41" s="111" t="str">
        <f>VLOOKUP(A41,Uhikhinnad!$A$6:$F$156,2,FALSE)</f>
        <v>isevoolne kan.toru </v>
      </c>
      <c r="C41" s="111" t="str">
        <f>VLOOKUP(A41,Uhikhinnad!$A$6:$F$156,3,FALSE)</f>
        <v>De160-De315</v>
      </c>
      <c r="D41" s="112" t="str">
        <f>VLOOKUP(A41,Uhikhinnad!$A$6:$F$156,4,FALSE)</f>
        <v>m</v>
      </c>
      <c r="E41" s="113">
        <v>4365</v>
      </c>
      <c r="F41" s="112">
        <v>95</v>
      </c>
      <c r="G41" s="112">
        <f>VLOOKUP(A41,Uhikhinnad!$A$6:$F$156,6,FALSE)</f>
        <v>0</v>
      </c>
      <c r="H41" s="143">
        <f aca="true" t="shared" si="1" ref="H41:H48">E41*F41+G41</f>
        <v>414675</v>
      </c>
    </row>
    <row r="42" spans="1:8" ht="11.25">
      <c r="A42" s="110" t="s">
        <v>160</v>
      </c>
      <c r="B42" s="111" t="str">
        <f>VLOOKUP(A42,Uhikhinnad!$A$6:$F$156,2,FALSE)</f>
        <v>väike reoveepumpla </v>
      </c>
      <c r="C42" s="111" t="str">
        <f>VLOOKUP(A42,Uhikhinnad!$A$6:$F$156,3,FALSE)</f>
        <v>Qarv ≤ 5 l/s</v>
      </c>
      <c r="D42" s="112" t="str">
        <f>VLOOKUP(A42,Uhikhinnad!$A$6:$F$156,4,FALSE)</f>
        <v>kmpl</v>
      </c>
      <c r="E42" s="113">
        <v>6</v>
      </c>
      <c r="F42" s="112">
        <v>20000</v>
      </c>
      <c r="G42" s="112">
        <f>VLOOKUP(A42,Uhikhinnad!$A$6:$F$156,6,FALSE)</f>
        <v>0</v>
      </c>
      <c r="H42" s="143">
        <f t="shared" si="1"/>
        <v>120000</v>
      </c>
    </row>
    <row r="43" spans="1:8" ht="11.25">
      <c r="A43" s="110"/>
      <c r="B43" s="111" t="s">
        <v>365</v>
      </c>
      <c r="C43" s="111"/>
      <c r="D43" s="112" t="s">
        <v>59</v>
      </c>
      <c r="E43" s="113">
        <v>1</v>
      </c>
      <c r="F43" s="112">
        <v>26500</v>
      </c>
      <c r="G43" s="112">
        <v>0</v>
      </c>
      <c r="H43" s="143">
        <f>E43*F43+G43</f>
        <v>26500</v>
      </c>
    </row>
    <row r="44" spans="1:8" ht="11.25">
      <c r="A44" s="110">
        <v>302</v>
      </c>
      <c r="B44" s="111" t="str">
        <f>VLOOKUP(A44,Uhikhinnad!$A$6:$F$156,2,FALSE)</f>
        <v>survekanalisatsioonitoru</v>
      </c>
      <c r="C44" s="111"/>
      <c r="D44" s="112" t="str">
        <f>VLOOKUP(A44,Uhikhinnad!$A$6:$F$156,4,FALSE)</f>
        <v>m</v>
      </c>
      <c r="E44" s="113">
        <v>3025</v>
      </c>
      <c r="F44" s="112">
        <v>55</v>
      </c>
      <c r="G44" s="112">
        <f>VLOOKUP(A44,Uhikhinnad!$A$6:$F$156,6,FALSE)</f>
        <v>0</v>
      </c>
      <c r="H44" s="143">
        <f t="shared" si="1"/>
        <v>166375</v>
      </c>
    </row>
    <row r="45" spans="1:8" ht="11.25">
      <c r="A45" s="110">
        <v>302</v>
      </c>
      <c r="B45" s="111" t="str">
        <f>VLOOKUP(A45,Uhikhinnad!$A$6:$F$156,2,FALSE)</f>
        <v>survekanalisatsioonitoru</v>
      </c>
      <c r="C45" s="111"/>
      <c r="D45" s="112" t="str">
        <f>VLOOKUP(A45,Uhikhinnad!$A$6:$F$156,4,FALSE)</f>
        <v>m</v>
      </c>
      <c r="E45" s="113">
        <v>2800</v>
      </c>
      <c r="F45" s="112">
        <v>55</v>
      </c>
      <c r="G45" s="112">
        <f>VLOOKUP(A45,Uhikhinnad!$A$6:$F$156,6,FALSE)</f>
        <v>0</v>
      </c>
      <c r="H45" s="143">
        <f t="shared" si="1"/>
        <v>154000</v>
      </c>
    </row>
    <row r="46" spans="1:8" ht="11.25">
      <c r="A46" s="110"/>
      <c r="B46" s="111" t="s">
        <v>366</v>
      </c>
      <c r="C46" s="111"/>
      <c r="D46" s="112" t="s">
        <v>59</v>
      </c>
      <c r="E46" s="113">
        <v>1</v>
      </c>
      <c r="F46" s="112">
        <v>30000</v>
      </c>
      <c r="G46" s="112">
        <v>0</v>
      </c>
      <c r="H46" s="143">
        <f t="shared" si="1"/>
        <v>30000</v>
      </c>
    </row>
    <row r="47" spans="1:8" ht="11.25">
      <c r="A47" s="110"/>
      <c r="B47" s="111" t="s">
        <v>356</v>
      </c>
      <c r="C47" s="111"/>
      <c r="D47" s="112" t="s">
        <v>59</v>
      </c>
      <c r="E47" s="113">
        <v>1</v>
      </c>
      <c r="F47" s="112">
        <v>17500</v>
      </c>
      <c r="G47" s="112"/>
      <c r="H47" s="143">
        <f t="shared" si="1"/>
        <v>17500</v>
      </c>
    </row>
    <row r="48" spans="1:8" ht="11.25">
      <c r="A48" s="110">
        <v>304</v>
      </c>
      <c r="B48" s="111" t="str">
        <f>VLOOKUP(A48,Uhikhinnad!$A$6:$F$156,2,FALSE)</f>
        <v>majaühendus</v>
      </c>
      <c r="C48" s="111" t="str">
        <f>VLOOKUP(A48,Uhikhinnad!$A$6:$F$156,3,FALSE)</f>
        <v>Kontrollkaev De200, torustik ja otsakork</v>
      </c>
      <c r="D48" s="112" t="str">
        <f>VLOOKUP(A48,Uhikhinnad!$A$6:$F$156,4,FALSE)</f>
        <v>kmpl</v>
      </c>
      <c r="E48" s="113">
        <v>145</v>
      </c>
      <c r="F48" s="112">
        <v>280</v>
      </c>
      <c r="G48" s="112">
        <f>VLOOKUP(A48,Uhikhinnad!$A$6:$F$156,6,FALSE)</f>
        <v>0</v>
      </c>
      <c r="H48" s="143">
        <f t="shared" si="1"/>
        <v>40600</v>
      </c>
    </row>
    <row r="49" spans="1:9" ht="11.25">
      <c r="A49" s="110"/>
      <c r="B49" s="109" t="s">
        <v>278</v>
      </c>
      <c r="C49" s="128"/>
      <c r="D49" s="112"/>
      <c r="E49" s="127"/>
      <c r="F49" s="126"/>
      <c r="G49" s="126"/>
      <c r="H49" s="142">
        <v>0</v>
      </c>
      <c r="I49" s="106"/>
    </row>
    <row r="50" spans="1:8" ht="11.25">
      <c r="A50" s="124"/>
      <c r="B50" s="107" t="s">
        <v>75</v>
      </c>
      <c r="C50" s="116"/>
      <c r="D50" s="117"/>
      <c r="E50" s="118"/>
      <c r="F50" s="117"/>
      <c r="G50" s="117"/>
      <c r="H50" s="146"/>
    </row>
    <row r="51" spans="1:8" ht="11.25">
      <c r="A51" s="110"/>
      <c r="B51" s="105" t="s">
        <v>287</v>
      </c>
      <c r="C51" s="126"/>
      <c r="D51" s="112"/>
      <c r="E51" s="127"/>
      <c r="F51" s="126"/>
      <c r="G51" s="126"/>
      <c r="H51" s="144"/>
    </row>
    <row r="52" spans="1:8" ht="11.25">
      <c r="A52" s="110"/>
      <c r="B52" s="109" t="s">
        <v>93</v>
      </c>
      <c r="C52" s="128"/>
      <c r="D52" s="112"/>
      <c r="E52" s="127"/>
      <c r="F52" s="126"/>
      <c r="G52" s="126"/>
      <c r="H52" s="142">
        <v>0</v>
      </c>
    </row>
    <row r="53" spans="1:9" ht="11.25">
      <c r="A53" s="110"/>
      <c r="B53" s="109" t="s">
        <v>94</v>
      </c>
      <c r="C53" s="128"/>
      <c r="D53" s="112"/>
      <c r="E53" s="127"/>
      <c r="F53" s="126"/>
      <c r="G53" s="126"/>
      <c r="H53" s="142">
        <v>0</v>
      </c>
      <c r="I53" s="106"/>
    </row>
    <row r="54" spans="1:8" ht="11.25">
      <c r="A54" s="110"/>
      <c r="B54" s="105" t="s">
        <v>288</v>
      </c>
      <c r="C54" s="126"/>
      <c r="D54" s="112"/>
      <c r="E54" s="127"/>
      <c r="F54" s="126"/>
      <c r="G54" s="126"/>
      <c r="H54" s="144"/>
    </row>
    <row r="55" spans="1:8" ht="11.25">
      <c r="A55" s="110"/>
      <c r="B55" s="109" t="s">
        <v>95</v>
      </c>
      <c r="C55" s="128"/>
      <c r="D55" s="112"/>
      <c r="E55" s="127"/>
      <c r="F55" s="126"/>
      <c r="G55" s="126"/>
      <c r="H55" s="142">
        <v>0</v>
      </c>
    </row>
    <row r="56" spans="1:9" ht="11.25">
      <c r="A56" s="110"/>
      <c r="B56" s="109" t="s">
        <v>96</v>
      </c>
      <c r="C56" s="128"/>
      <c r="D56" s="112"/>
      <c r="E56" s="127"/>
      <c r="F56" s="126"/>
      <c r="G56" s="126"/>
      <c r="H56" s="142">
        <v>0</v>
      </c>
      <c r="I56" s="106"/>
    </row>
    <row r="57" spans="1:10" ht="11.25" customHeight="1">
      <c r="A57" s="110"/>
      <c r="B57" s="204" t="s">
        <v>61</v>
      </c>
      <c r="C57" s="204"/>
      <c r="D57" s="204"/>
      <c r="E57" s="204"/>
      <c r="F57" s="204"/>
      <c r="G57" s="204"/>
      <c r="H57" s="144">
        <f>SUM(H37,H40,H52,H55)*(1+13.5%)</f>
        <v>1100552.75</v>
      </c>
      <c r="J57" s="122"/>
    </row>
    <row r="58" spans="1:12" ht="11.25" customHeight="1">
      <c r="A58" s="110"/>
      <c r="B58" s="204" t="s">
        <v>62</v>
      </c>
      <c r="C58" s="204"/>
      <c r="D58" s="204"/>
      <c r="E58" s="204"/>
      <c r="F58" s="204"/>
      <c r="G58" s="204"/>
      <c r="H58" s="144">
        <f>SUM(H38,H49,H53,H56)*(1+Uhikhinnad!$E$161)</f>
        <v>0</v>
      </c>
      <c r="L58" s="122"/>
    </row>
    <row r="59" spans="1:12" ht="11.25">
      <c r="A59" s="129"/>
      <c r="B59" s="205" t="s">
        <v>13</v>
      </c>
      <c r="C59" s="205"/>
      <c r="D59" s="205"/>
      <c r="E59" s="205"/>
      <c r="F59" s="205"/>
      <c r="G59" s="205"/>
      <c r="H59" s="145">
        <f>SUM(H57:H58)</f>
        <v>1100552.75</v>
      </c>
      <c r="J59" s="122"/>
      <c r="L59" s="122"/>
    </row>
    <row r="60" spans="1:8" ht="11.25" hidden="1">
      <c r="A60" s="129"/>
      <c r="B60" s="105" t="s">
        <v>133</v>
      </c>
      <c r="C60" s="126"/>
      <c r="D60" s="126"/>
      <c r="E60" s="112"/>
      <c r="F60" s="126"/>
      <c r="G60" s="126"/>
      <c r="H60" s="143"/>
    </row>
    <row r="61" spans="1:8" ht="11.25" hidden="1">
      <c r="A61" s="129"/>
      <c r="B61" s="107" t="s">
        <v>88</v>
      </c>
      <c r="C61" s="126"/>
      <c r="D61" s="126"/>
      <c r="E61" s="112"/>
      <c r="F61" s="126"/>
      <c r="G61" s="126"/>
      <c r="H61" s="143"/>
    </row>
    <row r="62" spans="2:10" ht="11.25" customHeight="1" hidden="1">
      <c r="B62" s="105" t="s">
        <v>131</v>
      </c>
      <c r="C62" s="126"/>
      <c r="D62" s="126"/>
      <c r="E62" s="112"/>
      <c r="F62" s="126"/>
      <c r="G62" s="126"/>
      <c r="H62" s="143"/>
      <c r="J62" s="122"/>
    </row>
    <row r="63" spans="2:8" ht="11.25" customHeight="1" hidden="1">
      <c r="B63" s="109" t="s">
        <v>281</v>
      </c>
      <c r="C63" s="126"/>
      <c r="D63" s="126"/>
      <c r="E63" s="112"/>
      <c r="F63" s="126"/>
      <c r="G63" s="126"/>
      <c r="H63" s="142">
        <f>H64</f>
        <v>0</v>
      </c>
    </row>
    <row r="64" spans="1:8" s="98" customFormat="1" ht="11.25" hidden="1">
      <c r="A64" s="110">
        <v>1008</v>
      </c>
      <c r="B64" s="111" t="str">
        <f>VLOOKUP(A64,Uhikhinnad!$A$6:$F$156,2,FALSE)</f>
        <v>Sademevee uuringud, geodeetilised mõõdistused ja perspektiivskeem</v>
      </c>
      <c r="C64" s="111">
        <f>VLOOKUP(A64,Uhikhinnad!$A$6:$F$156,3,FALSE)</f>
        <v>0</v>
      </c>
      <c r="D64" s="112" t="str">
        <f>VLOOKUP(A64,Uhikhinnad!$A$6:$F$156,4,FALSE)</f>
        <v>tk</v>
      </c>
      <c r="E64" s="113"/>
      <c r="F64" s="112"/>
      <c r="G64" s="112">
        <f>VLOOKUP(A64,Uhikhinnad!$A$6:$F$156,6,FALSE)</f>
        <v>0</v>
      </c>
      <c r="H64" s="143">
        <f>E64*F64+G64</f>
        <v>0</v>
      </c>
    </row>
    <row r="65" spans="2:8" ht="11.25" customHeight="1" hidden="1">
      <c r="B65" s="109" t="s">
        <v>98</v>
      </c>
      <c r="C65" s="126"/>
      <c r="D65" s="126"/>
      <c r="E65" s="112"/>
      <c r="F65" s="126"/>
      <c r="G65" s="126"/>
      <c r="H65" s="142">
        <f>SUM(H66:H66)</f>
        <v>0</v>
      </c>
    </row>
    <row r="66" spans="1:8" s="98" customFormat="1" ht="11.25" hidden="1">
      <c r="A66" s="110" t="s">
        <v>292</v>
      </c>
      <c r="B66" s="111" t="str">
        <f>VLOOKUP(A66,Uhikhinnad!$A$6:$F$156,2,FALSE)</f>
        <v>kraavi rekonstrueerimine</v>
      </c>
      <c r="C66" s="111" t="str">
        <f>VLOOKUP(A66,Uhikhinnad!$A$6:$F$156,3,FALSE)</f>
        <v>kraav ja truubid</v>
      </c>
      <c r="D66" s="112" t="str">
        <f>VLOOKUP(A66,Uhikhinnad!$A$6:$F$156,4,FALSE)</f>
        <v>m</v>
      </c>
      <c r="E66" s="113"/>
      <c r="F66" s="112"/>
      <c r="G66" s="112">
        <f>VLOOKUP(A66,Uhikhinnad!$A$6:$F$156,6,FALSE)</f>
        <v>0</v>
      </c>
      <c r="H66" s="143">
        <f>E66*F66+G66</f>
        <v>0</v>
      </c>
    </row>
    <row r="67" spans="2:8" ht="11.25" customHeight="1" hidden="1">
      <c r="B67" s="105" t="s">
        <v>132</v>
      </c>
      <c r="H67" s="141"/>
    </row>
    <row r="68" spans="2:8" ht="11.25" customHeight="1" hidden="1">
      <c r="B68" s="109" t="s">
        <v>99</v>
      </c>
      <c r="H68" s="142">
        <v>0</v>
      </c>
    </row>
    <row r="69" spans="2:8" ht="11.25" customHeight="1" hidden="1">
      <c r="B69" s="109" t="s">
        <v>100</v>
      </c>
      <c r="H69" s="142">
        <v>0</v>
      </c>
    </row>
    <row r="70" spans="1:8" ht="11.25" customHeight="1" hidden="1">
      <c r="A70" s="110"/>
      <c r="B70" s="204" t="s">
        <v>61</v>
      </c>
      <c r="C70" s="204"/>
      <c r="D70" s="204"/>
      <c r="E70" s="204"/>
      <c r="F70" s="204"/>
      <c r="G70" s="204"/>
      <c r="H70" s="144">
        <f>SUM(H63,H68)*(1+15%)</f>
        <v>0</v>
      </c>
    </row>
    <row r="71" spans="1:12" ht="11.25" customHeight="1" hidden="1">
      <c r="A71" s="110"/>
      <c r="B71" s="204" t="s">
        <v>62</v>
      </c>
      <c r="C71" s="204"/>
      <c r="D71" s="204"/>
      <c r="E71" s="204"/>
      <c r="F71" s="204"/>
      <c r="G71" s="204"/>
      <c r="H71" s="144">
        <f>SUM(H65,H69)*(1+15%)</f>
        <v>0</v>
      </c>
      <c r="L71" s="122"/>
    </row>
    <row r="72" spans="1:12" ht="11.25" hidden="1">
      <c r="A72" s="129"/>
      <c r="B72" s="205" t="s">
        <v>305</v>
      </c>
      <c r="C72" s="205"/>
      <c r="D72" s="205"/>
      <c r="E72" s="205"/>
      <c r="F72" s="205"/>
      <c r="G72" s="205"/>
      <c r="H72" s="145">
        <f>SUM(H70:H71)</f>
        <v>0</v>
      </c>
      <c r="L72" s="122"/>
    </row>
    <row r="73" ht="11.25" customHeight="1" hidden="1">
      <c r="H73" s="141"/>
    </row>
    <row r="74" ht="11.25" customHeight="1" hidden="1">
      <c r="H74" s="141"/>
    </row>
    <row r="75" ht="11.25" customHeight="1" hidden="1">
      <c r="H75" s="152">
        <f>H31+H57+H70</f>
        <v>1854987.25</v>
      </c>
    </row>
    <row r="76" ht="11.25" customHeight="1" hidden="1">
      <c r="H76" s="152">
        <f>H32+H58+H71</f>
        <v>0</v>
      </c>
    </row>
    <row r="77" ht="11.25" customHeight="1" hidden="1">
      <c r="H77" s="152">
        <f>H75+H76</f>
        <v>1854987.25</v>
      </c>
    </row>
  </sheetData>
  <sheetProtection/>
  <mergeCells count="9">
    <mergeCell ref="B70:G70"/>
    <mergeCell ref="B71:G71"/>
    <mergeCell ref="B72:G72"/>
    <mergeCell ref="B31:G31"/>
    <mergeCell ref="B32:G32"/>
    <mergeCell ref="B33:G33"/>
    <mergeCell ref="B57:G57"/>
    <mergeCell ref="B58:G58"/>
    <mergeCell ref="B59:G5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="85" zoomScaleNormal="85" zoomScalePageLayoutView="0" workbookViewId="0" topLeftCell="B1">
      <selection activeCell="O30" sqref="O30"/>
    </sheetView>
  </sheetViews>
  <sheetFormatPr defaultColWidth="9.140625" defaultRowHeight="11.25" customHeight="1"/>
  <cols>
    <col min="1" max="1" width="6.57421875" style="96" hidden="1" customWidth="1"/>
    <col min="2" max="2" width="36.57421875" style="98" customWidth="1"/>
    <col min="3" max="3" width="40.28125" style="98" bestFit="1" customWidth="1"/>
    <col min="4" max="4" width="6.140625" style="98" bestFit="1" customWidth="1"/>
    <col min="5" max="5" width="8.140625" style="101" bestFit="1" customWidth="1"/>
    <col min="6" max="6" width="8.140625" style="98" bestFit="1" customWidth="1"/>
    <col min="7" max="7" width="9.8515625" style="98" hidden="1" customWidth="1"/>
    <col min="8" max="8" width="15.8515625" style="59" bestFit="1" customWidth="1"/>
    <col min="9" max="9" width="9.140625" style="100" customWidth="1"/>
    <col min="10" max="10" width="14.140625" style="100" bestFit="1" customWidth="1"/>
    <col min="11" max="11" width="14.140625" style="100" hidden="1" customWidth="1"/>
    <col min="12" max="12" width="13.140625" style="100" hidden="1" customWidth="1"/>
    <col min="13" max="16384" width="9.140625" style="100" customWidth="1"/>
  </cols>
  <sheetData>
    <row r="1" spans="2:8" ht="11.25">
      <c r="B1" s="104" t="s">
        <v>328</v>
      </c>
      <c r="H1" s="57"/>
    </row>
    <row r="2" spans="2:8" ht="11.25">
      <c r="B2" s="104" t="s">
        <v>53</v>
      </c>
      <c r="H2" s="57"/>
    </row>
    <row r="3" spans="1:8" ht="21" customHeight="1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</row>
    <row r="4" spans="1:11" ht="11.25">
      <c r="A4" s="7"/>
      <c r="B4" s="105" t="s">
        <v>41</v>
      </c>
      <c r="H4" s="141"/>
      <c r="I4" s="106"/>
      <c r="J4" s="106"/>
      <c r="K4" s="106"/>
    </row>
    <row r="5" spans="1:11" ht="11.25">
      <c r="A5" s="7"/>
      <c r="B5" s="107" t="s">
        <v>72</v>
      </c>
      <c r="H5" s="141"/>
      <c r="I5" s="106"/>
      <c r="J5" s="106"/>
      <c r="K5" s="106"/>
    </row>
    <row r="6" spans="1:11" ht="11.25">
      <c r="A6" s="7"/>
      <c r="B6" s="108" t="s">
        <v>87</v>
      </c>
      <c r="H6" s="141"/>
      <c r="I6" s="106"/>
      <c r="J6" s="106"/>
      <c r="K6" s="106"/>
    </row>
    <row r="7" spans="1:11" ht="11.25">
      <c r="A7" s="7"/>
      <c r="B7" s="109" t="s">
        <v>89</v>
      </c>
      <c r="H7" s="142">
        <v>0</v>
      </c>
      <c r="I7" s="106"/>
      <c r="J7" s="106"/>
      <c r="K7" s="106"/>
    </row>
    <row r="8" spans="1:11" ht="11.25">
      <c r="A8" s="7"/>
      <c r="B8" s="109" t="s">
        <v>90</v>
      </c>
      <c r="H8" s="142">
        <v>0</v>
      </c>
      <c r="J8" s="106"/>
      <c r="K8" s="106"/>
    </row>
    <row r="9" spans="1:11" ht="11.25">
      <c r="A9" s="7"/>
      <c r="B9" s="108" t="s">
        <v>271</v>
      </c>
      <c r="H9" s="141"/>
      <c r="I9" s="106"/>
      <c r="J9" s="106"/>
      <c r="K9" s="106"/>
    </row>
    <row r="10" spans="1:11" ht="11.25">
      <c r="A10" s="7"/>
      <c r="B10" s="109" t="s">
        <v>91</v>
      </c>
      <c r="H10" s="142">
        <v>0</v>
      </c>
      <c r="I10" s="106"/>
      <c r="J10" s="106"/>
      <c r="K10" s="106"/>
    </row>
    <row r="11" spans="1:11" ht="11.25">
      <c r="A11" s="7"/>
      <c r="B11" s="109" t="s">
        <v>92</v>
      </c>
      <c r="H11" s="142">
        <f>SUM(H12)</f>
        <v>50000</v>
      </c>
      <c r="J11" s="106"/>
      <c r="K11" s="106"/>
    </row>
    <row r="12" spans="1:11" ht="11.25">
      <c r="A12" s="110" t="s">
        <v>136</v>
      </c>
      <c r="B12" s="111" t="s">
        <v>211</v>
      </c>
      <c r="C12" s="111"/>
      <c r="D12" s="112" t="s">
        <v>59</v>
      </c>
      <c r="E12" s="113">
        <v>1</v>
      </c>
      <c r="F12" s="112">
        <v>50000</v>
      </c>
      <c r="G12" s="112"/>
      <c r="H12" s="143">
        <f>E12*F12+G12</f>
        <v>50000</v>
      </c>
      <c r="J12" s="106"/>
      <c r="K12" s="106"/>
    </row>
    <row r="13" spans="1:11" ht="11.25">
      <c r="A13" s="7"/>
      <c r="B13" s="107" t="s">
        <v>73</v>
      </c>
      <c r="H13" s="141"/>
      <c r="J13" s="106"/>
      <c r="K13" s="106"/>
    </row>
    <row r="14" spans="1:8" ht="11.25">
      <c r="A14" s="110"/>
      <c r="B14" s="108" t="s">
        <v>272</v>
      </c>
      <c r="C14" s="116"/>
      <c r="D14" s="117"/>
      <c r="E14" s="118"/>
      <c r="F14" s="117"/>
      <c r="G14" s="117"/>
      <c r="H14" s="144"/>
    </row>
    <row r="15" spans="1:8" ht="11.25">
      <c r="A15" s="110"/>
      <c r="B15" s="109" t="s">
        <v>273</v>
      </c>
      <c r="C15" s="116"/>
      <c r="D15" s="117"/>
      <c r="E15" s="118"/>
      <c r="F15" s="117"/>
      <c r="G15" s="117"/>
      <c r="H15" s="142">
        <v>0</v>
      </c>
    </row>
    <row r="16" spans="1:8" ht="11.25">
      <c r="A16" s="110"/>
      <c r="B16" s="109" t="s">
        <v>275</v>
      </c>
      <c r="C16" s="120"/>
      <c r="D16" s="99"/>
      <c r="E16" s="102"/>
      <c r="F16" s="99"/>
      <c r="G16" s="99"/>
      <c r="H16" s="142">
        <v>0</v>
      </c>
    </row>
    <row r="17" spans="1:10" ht="11.25">
      <c r="A17" s="110"/>
      <c r="B17" s="108" t="s">
        <v>82</v>
      </c>
      <c r="C17" s="116"/>
      <c r="D17" s="117"/>
      <c r="E17" s="118"/>
      <c r="F17" s="117"/>
      <c r="G17" s="117"/>
      <c r="H17" s="144"/>
      <c r="J17" s="122"/>
    </row>
    <row r="18" spans="1:11" ht="11.25">
      <c r="A18" s="110"/>
      <c r="B18" s="109" t="s">
        <v>274</v>
      </c>
      <c r="C18" s="116"/>
      <c r="D18" s="117"/>
      <c r="E18" s="118"/>
      <c r="F18" s="117"/>
      <c r="G18" s="117"/>
      <c r="H18" s="142">
        <v>0</v>
      </c>
      <c r="K18" s="106"/>
    </row>
    <row r="19" spans="1:8" ht="11.25">
      <c r="A19" s="110"/>
      <c r="B19" s="109" t="s">
        <v>276</v>
      </c>
      <c r="C19" s="120"/>
      <c r="D19" s="99"/>
      <c r="E19" s="102"/>
      <c r="F19" s="99"/>
      <c r="G19" s="99"/>
      <c r="H19" s="142">
        <f>SUM(H20:H21)</f>
        <v>987530</v>
      </c>
    </row>
    <row r="20" spans="1:11" s="98" customFormat="1" ht="11.25">
      <c r="A20" s="110" t="s">
        <v>163</v>
      </c>
      <c r="B20" s="111" t="s">
        <v>214</v>
      </c>
      <c r="C20" s="111" t="s">
        <v>313</v>
      </c>
      <c r="D20" s="112" t="s">
        <v>25</v>
      </c>
      <c r="E20" s="113">
        <v>10845</v>
      </c>
      <c r="F20" s="112">
        <v>90</v>
      </c>
      <c r="G20" s="112"/>
      <c r="H20" s="143">
        <f>E20*F20+G20</f>
        <v>976050</v>
      </c>
      <c r="I20" s="115"/>
      <c r="J20" s="115"/>
      <c r="K20" s="115"/>
    </row>
    <row r="21" spans="1:11" s="98" customFormat="1" ht="11.25">
      <c r="A21" s="110">
        <v>202</v>
      </c>
      <c r="B21" s="111" t="s">
        <v>16</v>
      </c>
      <c r="C21" s="111" t="s">
        <v>80</v>
      </c>
      <c r="D21" s="112" t="s">
        <v>59</v>
      </c>
      <c r="E21" s="113">
        <v>41</v>
      </c>
      <c r="F21" s="112">
        <v>280</v>
      </c>
      <c r="G21" s="112"/>
      <c r="H21" s="143">
        <f>E21*F21+G21</f>
        <v>11480</v>
      </c>
      <c r="I21" s="115"/>
      <c r="J21" s="115"/>
      <c r="K21" s="115"/>
    </row>
    <row r="22" spans="1:12" ht="11.25" customHeight="1">
      <c r="A22" s="110"/>
      <c r="B22" s="204" t="s">
        <v>61</v>
      </c>
      <c r="C22" s="204"/>
      <c r="D22" s="204"/>
      <c r="E22" s="204"/>
      <c r="F22" s="204"/>
      <c r="G22" s="204"/>
      <c r="H22" s="144">
        <f>SUM(H7,H10,H15,H18)*(1+15%)</f>
        <v>0</v>
      </c>
      <c r="K22" s="122">
        <f>H10+H18+H31</f>
        <v>0</v>
      </c>
      <c r="L22" s="121">
        <f>SUM(K22)*(1+Uhikhinnad!$E$161)</f>
        <v>0</v>
      </c>
    </row>
    <row r="23" spans="1:12" ht="11.25" customHeight="1">
      <c r="A23" s="110"/>
      <c r="B23" s="204" t="s">
        <v>62</v>
      </c>
      <c r="C23" s="204"/>
      <c r="D23" s="204"/>
      <c r="E23" s="204"/>
      <c r="F23" s="204"/>
      <c r="G23" s="204"/>
      <c r="H23" s="144">
        <f>SUM(H8,H11,H16,H19)*(1+Uhikhinnad!$E$161)</f>
        <v>1193159.5</v>
      </c>
      <c r="K23" s="122">
        <v>13040000</v>
      </c>
      <c r="L23" s="121">
        <f>SUM(K23)*(1+Uhikhinnad!$E$161)</f>
        <v>14995999.999999998</v>
      </c>
    </row>
    <row r="24" spans="1:12" ht="11.25">
      <c r="A24" s="110"/>
      <c r="B24" s="205" t="s">
        <v>45</v>
      </c>
      <c r="C24" s="205"/>
      <c r="D24" s="205"/>
      <c r="E24" s="205"/>
      <c r="F24" s="205"/>
      <c r="G24" s="205"/>
      <c r="H24" s="145">
        <f>SUM(H22:H23)</f>
        <v>1193159.5</v>
      </c>
      <c r="K24" s="122"/>
      <c r="L24" s="121"/>
    </row>
    <row r="25" spans="1:8" ht="11.25">
      <c r="A25" s="124"/>
      <c r="B25" s="105" t="s">
        <v>32</v>
      </c>
      <c r="C25" s="116"/>
      <c r="D25" s="117"/>
      <c r="E25" s="118"/>
      <c r="F25" s="117"/>
      <c r="G25" s="117"/>
      <c r="H25" s="146"/>
    </row>
    <row r="26" spans="1:8" ht="11.25">
      <c r="A26" s="124"/>
      <c r="B26" s="107" t="s">
        <v>74</v>
      </c>
      <c r="C26" s="116"/>
      <c r="D26" s="117"/>
      <c r="E26" s="118"/>
      <c r="F26" s="117"/>
      <c r="G26" s="117"/>
      <c r="H26" s="146"/>
    </row>
    <row r="27" spans="1:8" ht="11.25">
      <c r="A27" s="110"/>
      <c r="B27" s="105" t="s">
        <v>270</v>
      </c>
      <c r="C27" s="126"/>
      <c r="D27" s="112"/>
      <c r="E27" s="127"/>
      <c r="F27" s="126"/>
      <c r="G27" s="126"/>
      <c r="H27" s="144"/>
    </row>
    <row r="28" spans="1:8" ht="11.25">
      <c r="A28" s="110"/>
      <c r="B28" s="109" t="s">
        <v>279</v>
      </c>
      <c r="C28" s="128"/>
      <c r="D28" s="112"/>
      <c r="E28" s="127"/>
      <c r="F28" s="126"/>
      <c r="G28" s="126"/>
      <c r="H28" s="142">
        <v>0</v>
      </c>
    </row>
    <row r="29" spans="1:9" ht="11.25">
      <c r="A29" s="110"/>
      <c r="B29" s="109" t="s">
        <v>277</v>
      </c>
      <c r="C29" s="128"/>
      <c r="D29" s="112"/>
      <c r="E29" s="127"/>
      <c r="F29" s="126"/>
      <c r="G29" s="126"/>
      <c r="H29" s="142">
        <v>0</v>
      </c>
      <c r="I29" s="106"/>
    </row>
    <row r="30" spans="1:8" ht="11.25">
      <c r="A30" s="110"/>
      <c r="B30" s="105" t="s">
        <v>123</v>
      </c>
      <c r="C30" s="126"/>
      <c r="D30" s="112"/>
      <c r="E30" s="127"/>
      <c r="F30" s="126"/>
      <c r="G30" s="126"/>
      <c r="H30" s="144"/>
    </row>
    <row r="31" spans="1:8" ht="11.25">
      <c r="A31" s="110"/>
      <c r="B31" s="109" t="s">
        <v>280</v>
      </c>
      <c r="C31" s="128"/>
      <c r="D31" s="112"/>
      <c r="E31" s="127"/>
      <c r="F31" s="126"/>
      <c r="G31" s="126"/>
      <c r="H31" s="142">
        <v>0</v>
      </c>
    </row>
    <row r="32" spans="1:9" ht="11.25">
      <c r="A32" s="110"/>
      <c r="B32" s="109" t="s">
        <v>278</v>
      </c>
      <c r="C32" s="128"/>
      <c r="D32" s="112"/>
      <c r="E32" s="127"/>
      <c r="F32" s="126"/>
      <c r="G32" s="126"/>
      <c r="H32" s="142">
        <f>SUM(H33:H38)</f>
        <v>1092030</v>
      </c>
      <c r="I32" s="106"/>
    </row>
    <row r="33" spans="1:8" ht="11.25">
      <c r="A33" s="110" t="s">
        <v>152</v>
      </c>
      <c r="B33" s="111" t="s">
        <v>227</v>
      </c>
      <c r="C33" s="111" t="s">
        <v>24</v>
      </c>
      <c r="D33" s="112" t="s">
        <v>25</v>
      </c>
      <c r="E33" s="113">
        <v>3090</v>
      </c>
      <c r="F33" s="112">
        <v>135</v>
      </c>
      <c r="G33" s="112"/>
      <c r="H33" s="143">
        <f aca="true" t="shared" si="0" ref="H33:H38">E33*F33+G33</f>
        <v>417150</v>
      </c>
    </row>
    <row r="34" spans="1:8" ht="11.25">
      <c r="A34" s="110">
        <v>304</v>
      </c>
      <c r="B34" s="111" t="str">
        <f>VLOOKUP(A34,Uhikhinnad!$A$6:$F$156,2,FALSE)</f>
        <v>majaühendus</v>
      </c>
      <c r="C34" s="111" t="str">
        <f>VLOOKUP(A34,Uhikhinnad!$A$6:$F$156,3,FALSE)</f>
        <v>Kontrollkaev De200, torustik ja otsakork</v>
      </c>
      <c r="D34" s="112" t="str">
        <f>VLOOKUP(A34,Uhikhinnad!$A$6:$F$156,4,FALSE)</f>
        <v>kmpl</v>
      </c>
      <c r="E34" s="113">
        <v>51</v>
      </c>
      <c r="F34" s="112">
        <v>280</v>
      </c>
      <c r="G34" s="112">
        <f>VLOOKUP(A34,Uhikhinnad!$A$6:$F$156,6,FALSE)</f>
        <v>0</v>
      </c>
      <c r="H34" s="143">
        <f t="shared" si="0"/>
        <v>14280</v>
      </c>
    </row>
    <row r="35" spans="1:8" ht="11.25">
      <c r="A35" s="110" t="s">
        <v>153</v>
      </c>
      <c r="B35" s="111" t="s">
        <v>228</v>
      </c>
      <c r="C35" s="111" t="s">
        <v>57</v>
      </c>
      <c r="D35" s="112" t="s">
        <v>25</v>
      </c>
      <c r="E35" s="113">
        <v>4420</v>
      </c>
      <c r="F35" s="112">
        <v>80</v>
      </c>
      <c r="G35" s="112"/>
      <c r="H35" s="143">
        <f t="shared" si="0"/>
        <v>353600</v>
      </c>
    </row>
    <row r="36" spans="1:8" ht="11.25">
      <c r="A36" s="110" t="s">
        <v>160</v>
      </c>
      <c r="B36" s="111" t="s">
        <v>229</v>
      </c>
      <c r="C36" s="111" t="s">
        <v>232</v>
      </c>
      <c r="D36" s="112" t="s">
        <v>59</v>
      </c>
      <c r="E36" s="113">
        <v>3</v>
      </c>
      <c r="F36" s="112">
        <v>29000</v>
      </c>
      <c r="G36" s="112"/>
      <c r="H36" s="143">
        <f t="shared" si="0"/>
        <v>87000</v>
      </c>
    </row>
    <row r="37" spans="1:8" ht="11.25">
      <c r="A37" s="110" t="s">
        <v>161</v>
      </c>
      <c r="B37" s="111" t="s">
        <v>230</v>
      </c>
      <c r="C37" s="111" t="s">
        <v>231</v>
      </c>
      <c r="D37" s="112" t="s">
        <v>59</v>
      </c>
      <c r="E37" s="113">
        <v>5</v>
      </c>
      <c r="F37" s="112">
        <v>40500</v>
      </c>
      <c r="G37" s="112"/>
      <c r="H37" s="143">
        <f t="shared" si="0"/>
        <v>202500</v>
      </c>
    </row>
    <row r="38" spans="1:8" ht="11.25">
      <c r="A38" s="110"/>
      <c r="B38" s="111" t="s">
        <v>356</v>
      </c>
      <c r="C38" s="111"/>
      <c r="D38" s="112" t="s">
        <v>59</v>
      </c>
      <c r="E38" s="113">
        <v>1</v>
      </c>
      <c r="F38" s="112">
        <v>17500</v>
      </c>
      <c r="G38" s="112"/>
      <c r="H38" s="143">
        <f t="shared" si="0"/>
        <v>17500</v>
      </c>
    </row>
    <row r="39" spans="1:8" ht="11.25">
      <c r="A39" s="124"/>
      <c r="B39" s="107" t="s">
        <v>75</v>
      </c>
      <c r="C39" s="116"/>
      <c r="D39" s="117"/>
      <c r="E39" s="118"/>
      <c r="F39" s="117"/>
      <c r="G39" s="117"/>
      <c r="H39" s="146"/>
    </row>
    <row r="40" spans="1:8" ht="11.25">
      <c r="A40" s="110"/>
      <c r="B40" s="105" t="s">
        <v>287</v>
      </c>
      <c r="C40" s="126"/>
      <c r="D40" s="112"/>
      <c r="E40" s="127"/>
      <c r="F40" s="126"/>
      <c r="G40" s="126"/>
      <c r="H40" s="144"/>
    </row>
    <row r="41" spans="1:8" ht="11.25">
      <c r="A41" s="110"/>
      <c r="B41" s="109" t="s">
        <v>93</v>
      </c>
      <c r="C41" s="128"/>
      <c r="D41" s="112"/>
      <c r="E41" s="127"/>
      <c r="F41" s="126"/>
      <c r="G41" s="126"/>
      <c r="H41" s="142">
        <v>0</v>
      </c>
    </row>
    <row r="42" spans="1:9" ht="11.25">
      <c r="A42" s="110"/>
      <c r="B42" s="109" t="s">
        <v>94</v>
      </c>
      <c r="C42" s="128"/>
      <c r="D42" s="112"/>
      <c r="E42" s="127"/>
      <c r="F42" s="126"/>
      <c r="G42" s="126"/>
      <c r="H42" s="142">
        <v>0</v>
      </c>
      <c r="I42" s="106"/>
    </row>
    <row r="43" spans="1:8" ht="11.25">
      <c r="A43" s="110"/>
      <c r="B43" s="105" t="s">
        <v>288</v>
      </c>
      <c r="C43" s="126"/>
      <c r="D43" s="112"/>
      <c r="E43" s="127"/>
      <c r="F43" s="126"/>
      <c r="G43" s="126"/>
      <c r="H43" s="144"/>
    </row>
    <row r="44" spans="1:8" ht="11.25">
      <c r="A44" s="110"/>
      <c r="B44" s="109" t="s">
        <v>95</v>
      </c>
      <c r="C44" s="128"/>
      <c r="D44" s="112"/>
      <c r="E44" s="127"/>
      <c r="F44" s="126"/>
      <c r="G44" s="126"/>
      <c r="H44" s="142">
        <v>0</v>
      </c>
    </row>
    <row r="45" spans="1:9" ht="11.25">
      <c r="A45" s="110"/>
      <c r="B45" s="109" t="s">
        <v>96</v>
      </c>
      <c r="C45" s="128"/>
      <c r="D45" s="112"/>
      <c r="E45" s="127"/>
      <c r="F45" s="126"/>
      <c r="G45" s="126"/>
      <c r="H45" s="142">
        <f>H46</f>
        <v>0</v>
      </c>
      <c r="I45" s="106"/>
    </row>
    <row r="46" spans="1:8" ht="11.25">
      <c r="A46" s="110"/>
      <c r="B46" s="111"/>
      <c r="C46" s="111"/>
      <c r="D46" s="112"/>
      <c r="E46" s="113"/>
      <c r="F46" s="112"/>
      <c r="G46" s="112"/>
      <c r="H46" s="143"/>
    </row>
    <row r="47" spans="1:10" ht="11.25" customHeight="1">
      <c r="A47" s="110"/>
      <c r="B47" s="204" t="s">
        <v>61</v>
      </c>
      <c r="C47" s="204"/>
      <c r="D47" s="204"/>
      <c r="E47" s="204"/>
      <c r="F47" s="204"/>
      <c r="G47" s="204"/>
      <c r="H47" s="144">
        <f>SUM(H28,H31,H41,H44)*(1+15%)</f>
        <v>0</v>
      </c>
      <c r="J47" s="122"/>
    </row>
    <row r="48" spans="1:12" ht="11.25" customHeight="1">
      <c r="A48" s="110"/>
      <c r="B48" s="204" t="s">
        <v>62</v>
      </c>
      <c r="C48" s="204"/>
      <c r="D48" s="204"/>
      <c r="E48" s="204"/>
      <c r="F48" s="204"/>
      <c r="G48" s="204"/>
      <c r="H48" s="144">
        <f>SUM(H29,H32,H42,H45)*(1+Uhikhinnad!$E$161)</f>
        <v>1255834.5</v>
      </c>
      <c r="L48" s="122"/>
    </row>
    <row r="49" spans="1:12" ht="11.25">
      <c r="A49" s="129"/>
      <c r="B49" s="205" t="s">
        <v>13</v>
      </c>
      <c r="C49" s="205"/>
      <c r="D49" s="205"/>
      <c r="E49" s="205"/>
      <c r="F49" s="205"/>
      <c r="G49" s="205"/>
      <c r="H49" s="145">
        <f>SUM(H47:H48)</f>
        <v>1255834.5</v>
      </c>
      <c r="J49" s="122"/>
      <c r="L49" s="122"/>
    </row>
    <row r="50" spans="1:8" ht="11.25" hidden="1">
      <c r="A50" s="129"/>
      <c r="B50" s="105" t="s">
        <v>133</v>
      </c>
      <c r="C50" s="126"/>
      <c r="D50" s="126"/>
      <c r="E50" s="112"/>
      <c r="F50" s="126"/>
      <c r="G50" s="126"/>
      <c r="H50" s="143"/>
    </row>
    <row r="51" spans="1:8" ht="11.25" hidden="1">
      <c r="A51" s="129"/>
      <c r="B51" s="107" t="s">
        <v>88</v>
      </c>
      <c r="C51" s="126"/>
      <c r="D51" s="126"/>
      <c r="E51" s="112"/>
      <c r="F51" s="126"/>
      <c r="G51" s="126"/>
      <c r="H51" s="143"/>
    </row>
    <row r="52" spans="2:10" ht="11.25" customHeight="1" hidden="1">
      <c r="B52" s="105" t="s">
        <v>131</v>
      </c>
      <c r="C52" s="126"/>
      <c r="D52" s="126"/>
      <c r="E52" s="112"/>
      <c r="F52" s="126"/>
      <c r="G52" s="126"/>
      <c r="H52" s="143"/>
      <c r="J52" s="122"/>
    </row>
    <row r="53" spans="2:8" ht="11.25" customHeight="1" hidden="1">
      <c r="B53" s="109" t="s">
        <v>281</v>
      </c>
      <c r="C53" s="126"/>
      <c r="D53" s="126"/>
      <c r="E53" s="112"/>
      <c r="F53" s="126"/>
      <c r="G53" s="126"/>
      <c r="H53" s="142">
        <v>0</v>
      </c>
    </row>
    <row r="54" spans="2:8" ht="11.25" customHeight="1" hidden="1">
      <c r="B54" s="109" t="s">
        <v>98</v>
      </c>
      <c r="C54" s="126"/>
      <c r="D54" s="126"/>
      <c r="E54" s="112"/>
      <c r="F54" s="126"/>
      <c r="G54" s="126"/>
      <c r="H54" s="142">
        <v>0</v>
      </c>
    </row>
    <row r="55" spans="2:8" ht="11.25" customHeight="1" hidden="1">
      <c r="B55" s="105" t="s">
        <v>132</v>
      </c>
      <c r="H55" s="141"/>
    </row>
    <row r="56" spans="2:8" ht="11.25" customHeight="1" hidden="1">
      <c r="B56" s="109" t="s">
        <v>99</v>
      </c>
      <c r="H56" s="142">
        <v>0</v>
      </c>
    </row>
    <row r="57" spans="2:8" ht="11.25" customHeight="1" hidden="1">
      <c r="B57" s="109" t="s">
        <v>100</v>
      </c>
      <c r="H57" s="142">
        <v>0</v>
      </c>
    </row>
    <row r="58" spans="1:8" ht="11.25" customHeight="1" hidden="1">
      <c r="A58" s="110"/>
      <c r="B58" s="204" t="s">
        <v>61</v>
      </c>
      <c r="C58" s="204"/>
      <c r="D58" s="204"/>
      <c r="E58" s="204"/>
      <c r="F58" s="204"/>
      <c r="G58" s="204"/>
      <c r="H58" s="144">
        <f>SUM(H53,H56)*(1+15%)</f>
        <v>0</v>
      </c>
    </row>
    <row r="59" spans="1:12" ht="11.25" customHeight="1" hidden="1">
      <c r="A59" s="110"/>
      <c r="B59" s="204" t="s">
        <v>62</v>
      </c>
      <c r="C59" s="204"/>
      <c r="D59" s="204"/>
      <c r="E59" s="204"/>
      <c r="F59" s="204"/>
      <c r="G59" s="204"/>
      <c r="H59" s="144">
        <f>SUM(H54,H57)*(1+15%)</f>
        <v>0</v>
      </c>
      <c r="L59" s="122"/>
    </row>
    <row r="60" spans="1:12" ht="11.25" hidden="1">
      <c r="A60" s="129"/>
      <c r="B60" s="205" t="s">
        <v>305</v>
      </c>
      <c r="C60" s="205"/>
      <c r="D60" s="205"/>
      <c r="E60" s="205"/>
      <c r="F60" s="205"/>
      <c r="G60" s="205"/>
      <c r="H60" s="145">
        <f>SUM(H58:H59)</f>
        <v>0</v>
      </c>
      <c r="L60" s="122"/>
    </row>
    <row r="61" ht="11.25" customHeight="1" hidden="1"/>
    <row r="62" ht="11.25" customHeight="1" hidden="1"/>
    <row r="63" spans="7:8" ht="11.25" customHeight="1" hidden="1">
      <c r="G63" s="98" t="s">
        <v>353</v>
      </c>
      <c r="H63" s="97">
        <f>H22+H47+H58</f>
        <v>0</v>
      </c>
    </row>
    <row r="64" spans="7:8" ht="11.25" customHeight="1" hidden="1">
      <c r="G64" s="98" t="s">
        <v>355</v>
      </c>
      <c r="H64" s="97">
        <f>H23+H48+H59</f>
        <v>2448994</v>
      </c>
    </row>
    <row r="65" spans="7:8" ht="11.25" customHeight="1" hidden="1">
      <c r="G65" s="98" t="s">
        <v>68</v>
      </c>
      <c r="H65" s="97">
        <f>H63+H64</f>
        <v>2448994</v>
      </c>
    </row>
  </sheetData>
  <sheetProtection/>
  <mergeCells count="9">
    <mergeCell ref="B58:G58"/>
    <mergeCell ref="B59:G59"/>
    <mergeCell ref="B60:G60"/>
    <mergeCell ref="B22:G22"/>
    <mergeCell ref="B23:G23"/>
    <mergeCell ref="B24:G24"/>
    <mergeCell ref="B47:G47"/>
    <mergeCell ref="B48:G48"/>
    <mergeCell ref="B49:G4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69"/>
  <sheetViews>
    <sheetView zoomScalePageLayoutView="0" workbookViewId="0" topLeftCell="A49">
      <selection activeCell="B67" sqref="B67"/>
    </sheetView>
  </sheetViews>
  <sheetFormatPr defaultColWidth="9.140625" defaultRowHeight="12.75"/>
  <cols>
    <col min="1" max="1" width="55.421875" style="0" bestFit="1" customWidth="1"/>
    <col min="2" max="2" width="11.57421875" style="0" customWidth="1"/>
    <col min="3" max="3" width="11.28125" style="0" customWidth="1"/>
    <col min="4" max="4" width="10.140625" style="0" bestFit="1" customWidth="1"/>
    <col min="5" max="5" width="13.140625" style="0" bestFit="1" customWidth="1"/>
    <col min="6" max="6" width="36.00390625" style="0" bestFit="1" customWidth="1"/>
    <col min="7" max="9" width="12.57421875" style="0" bestFit="1" customWidth="1"/>
  </cols>
  <sheetData>
    <row r="1" spans="1:5" s="100" customFormat="1" ht="11.25">
      <c r="A1" s="154" t="s">
        <v>367</v>
      </c>
      <c r="D1" s="59"/>
      <c r="E1" s="59"/>
    </row>
    <row r="2" spans="4:5" s="100" customFormat="1" ht="11.25">
      <c r="D2" s="59"/>
      <c r="E2" s="59"/>
    </row>
    <row r="3" spans="1:11" s="100" customFormat="1" ht="34.5" customHeight="1">
      <c r="A3" s="155" t="s">
        <v>368</v>
      </c>
      <c r="B3" s="156" t="s">
        <v>23</v>
      </c>
      <c r="C3" s="156" t="s">
        <v>50</v>
      </c>
      <c r="D3" s="157" t="s">
        <v>369</v>
      </c>
      <c r="E3" s="157" t="s">
        <v>370</v>
      </c>
      <c r="J3" s="158"/>
      <c r="K3" s="159"/>
    </row>
    <row r="4" spans="1:12" s="100" customFormat="1" ht="21">
      <c r="A4" s="160" t="s">
        <v>412</v>
      </c>
      <c r="B4" s="161" t="s">
        <v>25</v>
      </c>
      <c r="C4" s="162">
        <v>1485</v>
      </c>
      <c r="D4" s="163">
        <v>55</v>
      </c>
      <c r="E4" s="164">
        <f>D4*C4</f>
        <v>81675</v>
      </c>
      <c r="J4" s="165"/>
      <c r="K4" s="166"/>
      <c r="L4" s="165"/>
    </row>
    <row r="5" spans="1:12" s="100" customFormat="1" ht="21">
      <c r="A5" s="160" t="s">
        <v>413</v>
      </c>
      <c r="B5" s="161" t="s">
        <v>59</v>
      </c>
      <c r="C5" s="162">
        <v>1</v>
      </c>
      <c r="D5" s="163">
        <v>30000</v>
      </c>
      <c r="E5" s="164">
        <f>D5*C5</f>
        <v>30000</v>
      </c>
      <c r="J5" s="165"/>
      <c r="K5" s="166"/>
      <c r="L5" s="165"/>
    </row>
    <row r="6" spans="1:12" s="100" customFormat="1" ht="11.25">
      <c r="A6" s="217" t="s">
        <v>371</v>
      </c>
      <c r="B6" s="217"/>
      <c r="C6" s="217"/>
      <c r="D6" s="217"/>
      <c r="E6" s="167">
        <f>SUM(E4:E5)</f>
        <v>111675</v>
      </c>
      <c r="J6" s="165"/>
      <c r="K6" s="166"/>
      <c r="L6" s="165"/>
    </row>
    <row r="7" spans="1:12" s="100" customFormat="1" ht="11.25">
      <c r="A7" s="217" t="s">
        <v>372</v>
      </c>
      <c r="B7" s="217"/>
      <c r="C7" s="217"/>
      <c r="D7" s="217"/>
      <c r="E7" s="167">
        <f>E6*5%</f>
        <v>5583.75</v>
      </c>
      <c r="J7" s="165"/>
      <c r="K7" s="166"/>
      <c r="L7" s="165"/>
    </row>
    <row r="8" spans="1:12" s="100" customFormat="1" ht="11.25">
      <c r="A8" s="216" t="s">
        <v>373</v>
      </c>
      <c r="B8" s="216"/>
      <c r="C8" s="216"/>
      <c r="D8" s="216"/>
      <c r="E8" s="168">
        <f>SUM(E9:E11)</f>
        <v>9492.375</v>
      </c>
      <c r="J8" s="165"/>
      <c r="K8" s="166"/>
      <c r="L8" s="165"/>
    </row>
    <row r="9" spans="1:12" s="100" customFormat="1" ht="11.25">
      <c r="A9" s="169" t="s">
        <v>374</v>
      </c>
      <c r="B9" s="169"/>
      <c r="C9" s="161" t="s">
        <v>59</v>
      </c>
      <c r="D9" s="161">
        <v>1</v>
      </c>
      <c r="E9" s="164">
        <f>E6*0.02</f>
        <v>2233.5</v>
      </c>
      <c r="J9" s="165"/>
      <c r="K9" s="166"/>
      <c r="L9" s="165"/>
    </row>
    <row r="10" spans="1:12" s="100" customFormat="1" ht="11.25">
      <c r="A10" s="169" t="s">
        <v>375</v>
      </c>
      <c r="B10" s="169"/>
      <c r="C10" s="161" t="s">
        <v>59</v>
      </c>
      <c r="D10" s="161">
        <v>1</v>
      </c>
      <c r="E10" s="164">
        <f>E6*0.04</f>
        <v>4467</v>
      </c>
      <c r="J10" s="165"/>
      <c r="K10" s="166"/>
      <c r="L10" s="165"/>
    </row>
    <row r="11" spans="1:12" s="100" customFormat="1" ht="11.25">
      <c r="A11" s="169" t="s">
        <v>376</v>
      </c>
      <c r="B11" s="169"/>
      <c r="C11" s="161" t="s">
        <v>59</v>
      </c>
      <c r="D11" s="161">
        <v>1</v>
      </c>
      <c r="E11" s="164">
        <f>E6*0.025</f>
        <v>2791.875</v>
      </c>
      <c r="J11" s="165"/>
      <c r="K11" s="166"/>
      <c r="L11" s="165"/>
    </row>
    <row r="12" spans="1:12" s="100" customFormat="1" ht="22.5" customHeight="1">
      <c r="A12" s="217" t="s">
        <v>377</v>
      </c>
      <c r="B12" s="217"/>
      <c r="C12" s="217"/>
      <c r="D12" s="217"/>
      <c r="E12" s="167">
        <f>E6+E7+E8</f>
        <v>126751.125</v>
      </c>
      <c r="H12" s="153"/>
      <c r="J12" s="165"/>
      <c r="K12" s="166"/>
      <c r="L12" s="165"/>
    </row>
    <row r="13" s="100" customFormat="1" ht="11.25"/>
    <row r="14" s="100" customFormat="1" ht="11.25">
      <c r="A14" s="100" t="s">
        <v>378</v>
      </c>
    </row>
    <row r="15" s="100" customFormat="1" ht="11.25"/>
    <row r="16" spans="1:5" s="100" customFormat="1" ht="11.25">
      <c r="A16" s="155" t="s">
        <v>368</v>
      </c>
      <c r="B16" s="156" t="s">
        <v>23</v>
      </c>
      <c r="C16" s="156" t="s">
        <v>50</v>
      </c>
      <c r="D16" s="157" t="s">
        <v>369</v>
      </c>
      <c r="E16" s="157" t="s">
        <v>370</v>
      </c>
    </row>
    <row r="17" spans="1:5" s="100" customFormat="1" ht="11.25">
      <c r="A17" s="160" t="s">
        <v>379</v>
      </c>
      <c r="B17" s="161" t="s">
        <v>59</v>
      </c>
      <c r="C17" s="162">
        <v>1</v>
      </c>
      <c r="D17" s="163">
        <v>20000</v>
      </c>
      <c r="E17" s="164">
        <f>D17*C17</f>
        <v>20000</v>
      </c>
    </row>
    <row r="18" spans="1:5" s="100" customFormat="1" ht="21">
      <c r="A18" s="197" t="s">
        <v>380</v>
      </c>
      <c r="B18" s="161" t="s">
        <v>59</v>
      </c>
      <c r="C18" s="162">
        <v>1</v>
      </c>
      <c r="D18" s="163">
        <v>15000</v>
      </c>
      <c r="E18" s="164">
        <f aca="true" t="shared" si="0" ref="E18:E25">D18*C18</f>
        <v>15000</v>
      </c>
    </row>
    <row r="19" spans="1:5" s="100" customFormat="1" ht="11.25">
      <c r="A19" s="160" t="s">
        <v>414</v>
      </c>
      <c r="B19" s="161" t="s">
        <v>59</v>
      </c>
      <c r="C19" s="162">
        <v>1</v>
      </c>
      <c r="D19" s="163">
        <v>116000</v>
      </c>
      <c r="E19" s="164">
        <f t="shared" si="0"/>
        <v>116000</v>
      </c>
    </row>
    <row r="20" spans="1:5" s="100" customFormat="1" ht="11.25">
      <c r="A20" s="170" t="s">
        <v>381</v>
      </c>
      <c r="B20" s="161" t="s">
        <v>59</v>
      </c>
      <c r="C20" s="162">
        <v>1</v>
      </c>
      <c r="D20" s="163">
        <v>20000</v>
      </c>
      <c r="E20" s="164">
        <f t="shared" si="0"/>
        <v>20000</v>
      </c>
    </row>
    <row r="21" spans="1:5" s="100" customFormat="1" ht="11.25">
      <c r="A21" s="170" t="s">
        <v>382</v>
      </c>
      <c r="B21" s="161" t="s">
        <v>59</v>
      </c>
      <c r="C21" s="162">
        <v>1</v>
      </c>
      <c r="D21" s="163">
        <v>15000</v>
      </c>
      <c r="E21" s="164">
        <f t="shared" si="0"/>
        <v>15000</v>
      </c>
    </row>
    <row r="22" spans="1:5" s="100" customFormat="1" ht="11.25">
      <c r="A22" s="170" t="s">
        <v>383</v>
      </c>
      <c r="B22" s="161" t="s">
        <v>59</v>
      </c>
      <c r="C22" s="162">
        <v>1</v>
      </c>
      <c r="D22" s="163">
        <v>3000</v>
      </c>
      <c r="E22" s="164">
        <f t="shared" si="0"/>
        <v>3000</v>
      </c>
    </row>
    <row r="23" spans="1:5" s="100" customFormat="1" ht="11.25">
      <c r="A23" s="160" t="s">
        <v>384</v>
      </c>
      <c r="B23" s="161" t="s">
        <v>25</v>
      </c>
      <c r="C23" s="162">
        <v>200</v>
      </c>
      <c r="D23" s="163">
        <v>30</v>
      </c>
      <c r="E23" s="164">
        <f t="shared" si="0"/>
        <v>6000</v>
      </c>
    </row>
    <row r="24" spans="1:5" s="100" customFormat="1" ht="11.25">
      <c r="A24" s="160" t="s">
        <v>344</v>
      </c>
      <c r="B24" s="161" t="s">
        <v>36</v>
      </c>
      <c r="C24" s="162">
        <v>350</v>
      </c>
      <c r="D24" s="163">
        <v>5</v>
      </c>
      <c r="E24" s="164">
        <f t="shared" si="0"/>
        <v>1750</v>
      </c>
    </row>
    <row r="25" spans="1:5" s="100" customFormat="1" ht="11.25">
      <c r="A25" s="170" t="s">
        <v>345</v>
      </c>
      <c r="B25" s="161" t="s">
        <v>36</v>
      </c>
      <c r="C25" s="162">
        <v>250</v>
      </c>
      <c r="D25" s="163">
        <v>35</v>
      </c>
      <c r="E25" s="164">
        <f t="shared" si="0"/>
        <v>8750</v>
      </c>
    </row>
    <row r="26" spans="1:5" s="100" customFormat="1" ht="11.25">
      <c r="A26" s="217" t="s">
        <v>371</v>
      </c>
      <c r="B26" s="217"/>
      <c r="C26" s="217"/>
      <c r="D26" s="217"/>
      <c r="E26" s="167">
        <f>SUM(E17:E25)</f>
        <v>205500</v>
      </c>
    </row>
    <row r="27" spans="1:5" s="100" customFormat="1" ht="11.25">
      <c r="A27" s="217" t="s">
        <v>372</v>
      </c>
      <c r="B27" s="217"/>
      <c r="C27" s="217"/>
      <c r="D27" s="217"/>
      <c r="E27" s="167">
        <f>E26*5%</f>
        <v>10275</v>
      </c>
    </row>
    <row r="28" spans="1:5" s="100" customFormat="1" ht="11.25">
      <c r="A28" s="216" t="s">
        <v>373</v>
      </c>
      <c r="B28" s="216"/>
      <c r="C28" s="216"/>
      <c r="D28" s="216"/>
      <c r="E28" s="168">
        <f>SUM(E29:E31)</f>
        <v>17467.5</v>
      </c>
    </row>
    <row r="29" spans="1:5" s="100" customFormat="1" ht="11.25">
      <c r="A29" s="169" t="s">
        <v>374</v>
      </c>
      <c r="B29" s="169"/>
      <c r="C29" s="161" t="s">
        <v>59</v>
      </c>
      <c r="D29" s="161">
        <v>1</v>
      </c>
      <c r="E29" s="164">
        <f>E26*0.02</f>
        <v>4110</v>
      </c>
    </row>
    <row r="30" spans="1:5" s="100" customFormat="1" ht="11.25">
      <c r="A30" s="169" t="s">
        <v>375</v>
      </c>
      <c r="B30" s="169"/>
      <c r="C30" s="161" t="s">
        <v>59</v>
      </c>
      <c r="D30" s="161">
        <v>1</v>
      </c>
      <c r="E30" s="164">
        <f>E26*0.04</f>
        <v>8220</v>
      </c>
    </row>
    <row r="31" spans="1:5" s="100" customFormat="1" ht="11.25">
      <c r="A31" s="169" t="s">
        <v>376</v>
      </c>
      <c r="B31" s="169"/>
      <c r="C31" s="161" t="s">
        <v>59</v>
      </c>
      <c r="D31" s="161">
        <v>1</v>
      </c>
      <c r="E31" s="164">
        <f>E26*0.025</f>
        <v>5137.5</v>
      </c>
    </row>
    <row r="32" spans="1:5" s="100" customFormat="1" ht="11.25">
      <c r="A32" s="217" t="s">
        <v>377</v>
      </c>
      <c r="B32" s="217"/>
      <c r="C32" s="217"/>
      <c r="D32" s="217"/>
      <c r="E32" s="167">
        <f>E26+E27+E28</f>
        <v>233242.5</v>
      </c>
    </row>
    <row r="33" s="100" customFormat="1" ht="11.25"/>
    <row r="34" spans="4:5" s="100" customFormat="1" ht="11.25">
      <c r="D34" s="59"/>
      <c r="E34" s="59"/>
    </row>
    <row r="35" spans="4:5" s="100" customFormat="1" ht="11.25">
      <c r="D35" s="59"/>
      <c r="E35" s="59"/>
    </row>
    <row r="36" spans="4:9" s="100" customFormat="1" ht="11.25">
      <c r="D36" s="59"/>
      <c r="E36" s="59"/>
      <c r="F36" s="210" t="s">
        <v>385</v>
      </c>
      <c r="G36" s="171" t="s">
        <v>386</v>
      </c>
      <c r="H36" s="171" t="s">
        <v>387</v>
      </c>
      <c r="I36" s="171" t="s">
        <v>388</v>
      </c>
    </row>
    <row r="37" spans="4:9" s="100" customFormat="1" ht="11.25">
      <c r="D37" s="59"/>
      <c r="E37" s="59"/>
      <c r="F37" s="210"/>
      <c r="G37" s="214" t="s">
        <v>389</v>
      </c>
      <c r="H37" s="215"/>
      <c r="I37" s="171"/>
    </row>
    <row r="38" spans="4:9" s="100" customFormat="1" ht="11.25">
      <c r="D38" s="59"/>
      <c r="E38" s="59"/>
      <c r="F38" s="172" t="s">
        <v>390</v>
      </c>
      <c r="G38" s="173">
        <f>SUM(G39:G41)</f>
        <v>3338.7781250000003</v>
      </c>
      <c r="H38" s="173">
        <f>SUM(H39:H41)</f>
        <v>7748.395833333334</v>
      </c>
      <c r="I38" s="173" t="e">
        <f>SUM(I39:I41)</f>
        <v>#REF!</v>
      </c>
    </row>
    <row r="39" spans="4:9" s="100" customFormat="1" ht="11.25">
      <c r="D39" s="59"/>
      <c r="E39" s="59"/>
      <c r="F39" s="174" t="s">
        <v>391</v>
      </c>
      <c r="G39" s="163">
        <f>(E12-E5*2/3)*2.5%</f>
        <v>2668.7781250000003</v>
      </c>
      <c r="H39" s="163">
        <f>(E32-E18-E21-E19*2/3)*2.5%</f>
        <v>3147.729166666667</v>
      </c>
      <c r="I39" s="163" t="e">
        <f>(#REF!-#REF!-#REF!-#REF!-#REF!*2/3)*2.5%</f>
        <v>#REF!</v>
      </c>
    </row>
    <row r="40" spans="4:9" s="100" customFormat="1" ht="21">
      <c r="D40" s="59"/>
      <c r="E40" s="59"/>
      <c r="F40" s="160" t="s">
        <v>392</v>
      </c>
      <c r="G40" s="163">
        <f>(E5/3)*6.7%</f>
        <v>670</v>
      </c>
      <c r="H40" s="163">
        <f>(E18+E19/3)*6.7%</f>
        <v>3595.6666666666665</v>
      </c>
      <c r="I40" s="163" t="e">
        <f>(#REF!+#REF!/3)*6.7%</f>
        <v>#REF!</v>
      </c>
    </row>
    <row r="41" spans="1:19" s="59" customFormat="1" ht="21">
      <c r="A41" s="100"/>
      <c r="B41" s="100"/>
      <c r="C41" s="100"/>
      <c r="D41" s="175"/>
      <c r="F41" s="160" t="s">
        <v>393</v>
      </c>
      <c r="G41" s="163">
        <v>0</v>
      </c>
      <c r="H41" s="163">
        <f>E21*6.7%</f>
        <v>1005.0000000000001</v>
      </c>
      <c r="I41" s="163" t="e">
        <f>#REF!*6.7%</f>
        <v>#REF!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4:9" s="100" customFormat="1" ht="11.25">
      <c r="D42" s="59"/>
      <c r="E42" s="59"/>
      <c r="F42" s="172" t="s">
        <v>394</v>
      </c>
      <c r="G42" s="173">
        <f>SUM(G43:G46)</f>
        <v>4993.2</v>
      </c>
      <c r="H42" s="173">
        <f>SUM(H43:H46)</f>
        <v>12996.336</v>
      </c>
      <c r="I42" s="173">
        <f>SUM(I43:I46)</f>
        <v>10118.18</v>
      </c>
    </row>
    <row r="43" spans="4:9" s="100" customFormat="1" ht="21.75">
      <c r="D43" s="59"/>
      <c r="E43" s="59"/>
      <c r="F43" s="160" t="s">
        <v>395</v>
      </c>
      <c r="G43" s="176">
        <v>0</v>
      </c>
      <c r="H43" s="163">
        <f>16644*0.5</f>
        <v>8322</v>
      </c>
      <c r="I43" s="163">
        <f>10650*0.5</f>
        <v>5325</v>
      </c>
    </row>
    <row r="44" spans="4:9" s="100" customFormat="1" ht="21.75">
      <c r="D44" s="59"/>
      <c r="E44" s="59"/>
      <c r="F44" s="160" t="s">
        <v>396</v>
      </c>
      <c r="G44" s="163">
        <f>16644*0.3</f>
        <v>4993.2</v>
      </c>
      <c r="H44" s="163">
        <v>0</v>
      </c>
      <c r="I44" s="163">
        <v>0</v>
      </c>
    </row>
    <row r="45" spans="4:9" s="100" customFormat="1" ht="21.75">
      <c r="D45" s="59"/>
      <c r="E45" s="59"/>
      <c r="F45" s="160" t="s">
        <v>397</v>
      </c>
      <c r="G45" s="163">
        <v>0</v>
      </c>
      <c r="H45" s="163">
        <f>0.044*16644</f>
        <v>732.336</v>
      </c>
      <c r="I45" s="163">
        <f>53*0.044*365</f>
        <v>851.18</v>
      </c>
    </row>
    <row r="46" spans="4:9" s="100" customFormat="1" ht="32.25">
      <c r="D46" s="59"/>
      <c r="E46" s="59"/>
      <c r="F46" s="160" t="s">
        <v>398</v>
      </c>
      <c r="G46" s="163">
        <v>0</v>
      </c>
      <c r="H46" s="163">
        <f>0.9*365*12</f>
        <v>3942</v>
      </c>
      <c r="I46" s="163">
        <f>0.9*365*12</f>
        <v>3942</v>
      </c>
    </row>
    <row r="47" spans="4:9" s="100" customFormat="1" ht="11.25">
      <c r="D47" s="59"/>
      <c r="E47" s="59"/>
      <c r="F47" s="171" t="s">
        <v>399</v>
      </c>
      <c r="G47" s="167">
        <f>G38+G42</f>
        <v>8331.978125</v>
      </c>
      <c r="H47" s="167">
        <f>H38+H42</f>
        <v>20744.73183333333</v>
      </c>
      <c r="I47" s="167" t="e">
        <f>I38+I42</f>
        <v>#REF!</v>
      </c>
    </row>
    <row r="48" spans="4:5" s="100" customFormat="1" ht="11.25">
      <c r="D48" s="59"/>
      <c r="E48" s="59"/>
    </row>
    <row r="49" spans="4:5" s="100" customFormat="1" ht="11.25">
      <c r="D49" s="59"/>
      <c r="E49" s="59"/>
    </row>
    <row r="50" spans="4:5" s="100" customFormat="1" ht="11.25">
      <c r="D50" s="59"/>
      <c r="E50" s="59"/>
    </row>
    <row r="51" spans="4:5" s="100" customFormat="1" ht="11.25">
      <c r="D51" s="59"/>
      <c r="E51" s="59"/>
    </row>
    <row r="52" spans="1:32" s="134" customFormat="1" ht="33.75">
      <c r="A52" s="100"/>
      <c r="B52" s="211" t="s">
        <v>400</v>
      </c>
      <c r="C52" s="177" t="s">
        <v>401</v>
      </c>
      <c r="D52" s="177" t="s">
        <v>402</v>
      </c>
      <c r="E52" s="213"/>
      <c r="F52" s="178"/>
      <c r="G52" s="178"/>
      <c r="H52" s="179"/>
      <c r="I52" s="180"/>
      <c r="J52" s="180"/>
      <c r="K52" s="180"/>
      <c r="L52" s="181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</row>
    <row r="53" spans="1:32" s="134" customFormat="1" ht="12.75">
      <c r="A53" s="100"/>
      <c r="B53" s="212"/>
      <c r="C53" s="177" t="s">
        <v>69</v>
      </c>
      <c r="D53" s="177" t="s">
        <v>403</v>
      </c>
      <c r="E53" s="213"/>
      <c r="F53" s="178"/>
      <c r="G53" s="182"/>
      <c r="H53" s="179"/>
      <c r="I53" s="180"/>
      <c r="J53" s="180"/>
      <c r="K53" s="180"/>
      <c r="L53" s="181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</row>
    <row r="54" spans="1:32" s="134" customFormat="1" ht="22.5">
      <c r="A54" s="100"/>
      <c r="B54" s="198" t="s">
        <v>386</v>
      </c>
      <c r="C54" s="199">
        <f>E12</f>
        <v>126751.125</v>
      </c>
      <c r="D54" s="183">
        <f>G47</f>
        <v>8331.978125</v>
      </c>
      <c r="E54" s="184"/>
      <c r="F54" s="178"/>
      <c r="G54" s="178"/>
      <c r="H54" s="185"/>
      <c r="I54" s="186"/>
      <c r="J54" s="186"/>
      <c r="K54" s="186"/>
      <c r="L54" s="181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</row>
    <row r="55" spans="1:32" s="134" customFormat="1" ht="22.5">
      <c r="A55" s="100"/>
      <c r="B55" s="198" t="s">
        <v>387</v>
      </c>
      <c r="C55" s="199">
        <f>E32</f>
        <v>233242.5</v>
      </c>
      <c r="D55" s="187">
        <f>H47</f>
        <v>20744.73183333333</v>
      </c>
      <c r="E55" s="184"/>
      <c r="F55" s="178"/>
      <c r="G55" s="178"/>
      <c r="H55" s="185"/>
      <c r="I55" s="186"/>
      <c r="J55" s="186"/>
      <c r="K55" s="186"/>
      <c r="L55" s="181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</row>
    <row r="56" spans="1:32" s="134" customFormat="1" ht="12.75">
      <c r="A56" s="100"/>
      <c r="B56" s="178"/>
      <c r="C56" s="188">
        <v>1</v>
      </c>
      <c r="D56" s="178">
        <f>C56+1</f>
        <v>2</v>
      </c>
      <c r="E56" s="178">
        <f aca="true" t="shared" si="1" ref="E56:AF56">D56+1</f>
        <v>3</v>
      </c>
      <c r="F56" s="178">
        <f t="shared" si="1"/>
        <v>4</v>
      </c>
      <c r="G56" s="178">
        <f t="shared" si="1"/>
        <v>5</v>
      </c>
      <c r="H56" s="178">
        <f t="shared" si="1"/>
        <v>6</v>
      </c>
      <c r="I56" s="178">
        <f t="shared" si="1"/>
        <v>7</v>
      </c>
      <c r="J56" s="178">
        <f t="shared" si="1"/>
        <v>8</v>
      </c>
      <c r="K56" s="178">
        <f t="shared" si="1"/>
        <v>9</v>
      </c>
      <c r="L56" s="178">
        <f t="shared" si="1"/>
        <v>10</v>
      </c>
      <c r="M56" s="178">
        <f t="shared" si="1"/>
        <v>11</v>
      </c>
      <c r="N56" s="178">
        <f t="shared" si="1"/>
        <v>12</v>
      </c>
      <c r="O56" s="178">
        <f t="shared" si="1"/>
        <v>13</v>
      </c>
      <c r="P56" s="178">
        <f t="shared" si="1"/>
        <v>14</v>
      </c>
      <c r="Q56" s="178">
        <f t="shared" si="1"/>
        <v>15</v>
      </c>
      <c r="R56" s="178">
        <f t="shared" si="1"/>
        <v>16</v>
      </c>
      <c r="S56" s="178">
        <f t="shared" si="1"/>
        <v>17</v>
      </c>
      <c r="T56" s="178">
        <f t="shared" si="1"/>
        <v>18</v>
      </c>
      <c r="U56" s="178">
        <f t="shared" si="1"/>
        <v>19</v>
      </c>
      <c r="V56" s="178">
        <f t="shared" si="1"/>
        <v>20</v>
      </c>
      <c r="W56" s="178">
        <f t="shared" si="1"/>
        <v>21</v>
      </c>
      <c r="X56" s="178">
        <f t="shared" si="1"/>
        <v>22</v>
      </c>
      <c r="Y56" s="178">
        <f t="shared" si="1"/>
        <v>23</v>
      </c>
      <c r="Z56" s="178">
        <f t="shared" si="1"/>
        <v>24</v>
      </c>
      <c r="AA56" s="178">
        <f t="shared" si="1"/>
        <v>25</v>
      </c>
      <c r="AB56" s="178">
        <f t="shared" si="1"/>
        <v>26</v>
      </c>
      <c r="AC56" s="178">
        <f t="shared" si="1"/>
        <v>27</v>
      </c>
      <c r="AD56" s="178">
        <f t="shared" si="1"/>
        <v>28</v>
      </c>
      <c r="AE56" s="178">
        <f t="shared" si="1"/>
        <v>29</v>
      </c>
      <c r="AF56" s="178">
        <f t="shared" si="1"/>
        <v>30</v>
      </c>
    </row>
    <row r="57" spans="1:32" s="134" customFormat="1" ht="12.75">
      <c r="A57" s="100"/>
      <c r="B57" s="189">
        <v>1</v>
      </c>
      <c r="C57" s="190">
        <f>C54</f>
        <v>126751.125</v>
      </c>
      <c r="D57" s="182">
        <f>D54</f>
        <v>8331.978125</v>
      </c>
      <c r="E57" s="182">
        <f>D57</f>
        <v>8331.978125</v>
      </c>
      <c r="F57" s="182">
        <f aca="true" t="shared" si="2" ref="F57:AF57">E57</f>
        <v>8331.978125</v>
      </c>
      <c r="G57" s="182">
        <f t="shared" si="2"/>
        <v>8331.978125</v>
      </c>
      <c r="H57" s="182">
        <f t="shared" si="2"/>
        <v>8331.978125</v>
      </c>
      <c r="I57" s="182">
        <f t="shared" si="2"/>
        <v>8331.978125</v>
      </c>
      <c r="J57" s="182">
        <f t="shared" si="2"/>
        <v>8331.978125</v>
      </c>
      <c r="K57" s="182">
        <f>J57</f>
        <v>8331.978125</v>
      </c>
      <c r="L57" s="182">
        <f>K57</f>
        <v>8331.978125</v>
      </c>
      <c r="M57" s="182">
        <f t="shared" si="2"/>
        <v>8331.978125</v>
      </c>
      <c r="N57" s="182">
        <f t="shared" si="2"/>
        <v>8331.978125</v>
      </c>
      <c r="O57" s="182">
        <f t="shared" si="2"/>
        <v>8331.978125</v>
      </c>
      <c r="P57" s="182">
        <f t="shared" si="2"/>
        <v>8331.978125</v>
      </c>
      <c r="Q57" s="182">
        <f t="shared" si="2"/>
        <v>8331.978125</v>
      </c>
      <c r="R57" s="182">
        <f>Q57</f>
        <v>8331.978125</v>
      </c>
      <c r="S57" s="182">
        <f>R57</f>
        <v>8331.978125</v>
      </c>
      <c r="T57" s="182">
        <f t="shared" si="2"/>
        <v>8331.978125</v>
      </c>
      <c r="U57" s="182">
        <f t="shared" si="2"/>
        <v>8331.978125</v>
      </c>
      <c r="V57" s="182">
        <f t="shared" si="2"/>
        <v>8331.978125</v>
      </c>
      <c r="W57" s="182">
        <f t="shared" si="2"/>
        <v>8331.978125</v>
      </c>
      <c r="X57" s="182">
        <f t="shared" si="2"/>
        <v>8331.978125</v>
      </c>
      <c r="Y57" s="182">
        <f t="shared" si="2"/>
        <v>8331.978125</v>
      </c>
      <c r="Z57" s="182">
        <f t="shared" si="2"/>
        <v>8331.978125</v>
      </c>
      <c r="AA57" s="182">
        <f t="shared" si="2"/>
        <v>8331.978125</v>
      </c>
      <c r="AB57" s="182">
        <f t="shared" si="2"/>
        <v>8331.978125</v>
      </c>
      <c r="AC57" s="182">
        <f t="shared" si="2"/>
        <v>8331.978125</v>
      </c>
      <c r="AD57" s="182">
        <f t="shared" si="2"/>
        <v>8331.978125</v>
      </c>
      <c r="AE57" s="182">
        <f t="shared" si="2"/>
        <v>8331.978125</v>
      </c>
      <c r="AF57" s="182">
        <f t="shared" si="2"/>
        <v>8331.978125</v>
      </c>
    </row>
    <row r="58" spans="1:32" s="134" customFormat="1" ht="12.75">
      <c r="A58" s="100"/>
      <c r="B58" s="182" t="s">
        <v>404</v>
      </c>
      <c r="C58" s="190">
        <f>NPV(6%,C57:L57)</f>
        <v>173040.26060765277</v>
      </c>
      <c r="D58" s="182">
        <f>NPV(6%,R58:AA58)</f>
        <v>0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</row>
    <row r="59" spans="1:32" s="134" customFormat="1" ht="12.75">
      <c r="A59" s="100"/>
      <c r="B59" s="182" t="s">
        <v>405</v>
      </c>
      <c r="C59" s="190">
        <f>NPV(6%,C57:Q57)</f>
        <v>192638.42240758106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</row>
    <row r="60" spans="1:32" s="134" customFormat="1" ht="12.75">
      <c r="A60" s="100"/>
      <c r="B60" s="182" t="s">
        <v>406</v>
      </c>
      <c r="C60" s="190">
        <f>NPV(6%,C57:AF57)</f>
        <v>226404.44834569818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</row>
    <row r="61" spans="1:32" s="134" customFormat="1" ht="12.75">
      <c r="A61" s="100"/>
      <c r="B61" s="189">
        <v>2</v>
      </c>
      <c r="C61" s="190">
        <f>C55</f>
        <v>233242.5</v>
      </c>
      <c r="D61" s="182">
        <f>D55</f>
        <v>20744.73183333333</v>
      </c>
      <c r="E61" s="182">
        <f>D61</f>
        <v>20744.73183333333</v>
      </c>
      <c r="F61" s="182">
        <f aca="true" t="shared" si="3" ref="F61:AF61">E61</f>
        <v>20744.73183333333</v>
      </c>
      <c r="G61" s="182">
        <f t="shared" si="3"/>
        <v>20744.73183333333</v>
      </c>
      <c r="H61" s="182">
        <f t="shared" si="3"/>
        <v>20744.73183333333</v>
      </c>
      <c r="I61" s="182">
        <f t="shared" si="3"/>
        <v>20744.73183333333</v>
      </c>
      <c r="J61" s="182">
        <f t="shared" si="3"/>
        <v>20744.73183333333</v>
      </c>
      <c r="K61" s="182">
        <f t="shared" si="3"/>
        <v>20744.73183333333</v>
      </c>
      <c r="L61" s="182">
        <f t="shared" si="3"/>
        <v>20744.73183333333</v>
      </c>
      <c r="M61" s="182">
        <f t="shared" si="3"/>
        <v>20744.73183333333</v>
      </c>
      <c r="N61" s="182">
        <f t="shared" si="3"/>
        <v>20744.73183333333</v>
      </c>
      <c r="O61" s="182">
        <f t="shared" si="3"/>
        <v>20744.73183333333</v>
      </c>
      <c r="P61" s="182">
        <f t="shared" si="3"/>
        <v>20744.73183333333</v>
      </c>
      <c r="Q61" s="182">
        <f t="shared" si="3"/>
        <v>20744.73183333333</v>
      </c>
      <c r="R61" s="182">
        <f t="shared" si="3"/>
        <v>20744.73183333333</v>
      </c>
      <c r="S61" s="182">
        <f t="shared" si="3"/>
        <v>20744.73183333333</v>
      </c>
      <c r="T61" s="182">
        <f t="shared" si="3"/>
        <v>20744.73183333333</v>
      </c>
      <c r="U61" s="182">
        <f t="shared" si="3"/>
        <v>20744.73183333333</v>
      </c>
      <c r="V61" s="182">
        <f t="shared" si="3"/>
        <v>20744.73183333333</v>
      </c>
      <c r="W61" s="182">
        <f t="shared" si="3"/>
        <v>20744.73183333333</v>
      </c>
      <c r="X61" s="182">
        <f t="shared" si="3"/>
        <v>20744.73183333333</v>
      </c>
      <c r="Y61" s="182">
        <f t="shared" si="3"/>
        <v>20744.73183333333</v>
      </c>
      <c r="Z61" s="182">
        <f t="shared" si="3"/>
        <v>20744.73183333333</v>
      </c>
      <c r="AA61" s="182">
        <f t="shared" si="3"/>
        <v>20744.73183333333</v>
      </c>
      <c r="AB61" s="182">
        <f t="shared" si="3"/>
        <v>20744.73183333333</v>
      </c>
      <c r="AC61" s="182">
        <f t="shared" si="3"/>
        <v>20744.73183333333</v>
      </c>
      <c r="AD61" s="182">
        <f t="shared" si="3"/>
        <v>20744.73183333333</v>
      </c>
      <c r="AE61" s="182">
        <f t="shared" si="3"/>
        <v>20744.73183333333</v>
      </c>
      <c r="AF61" s="182">
        <f t="shared" si="3"/>
        <v>20744.73183333333</v>
      </c>
    </row>
    <row r="62" spans="1:32" s="134" customFormat="1" ht="12.75">
      <c r="A62" s="100"/>
      <c r="B62" s="182" t="s">
        <v>404</v>
      </c>
      <c r="C62" s="190">
        <f>NPV(6%,C61:L61)</f>
        <v>353152.6247616497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</row>
    <row r="63" spans="1:32" s="134" customFormat="1" ht="12.75">
      <c r="A63" s="100"/>
      <c r="B63" s="182" t="s">
        <v>405</v>
      </c>
      <c r="C63" s="190">
        <f>NPV(6%,C61:Q61)</f>
        <v>401947.5933593126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</row>
    <row r="64" spans="1:32" s="134" customFormat="1" ht="12.75">
      <c r="A64" s="100"/>
      <c r="B64" s="182" t="s">
        <v>406</v>
      </c>
      <c r="C64" s="190">
        <f>NPV(6%,C61:AF61)</f>
        <v>486017.32357882365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</row>
    <row r="65" spans="1:32" s="134" customFormat="1" ht="12.75">
      <c r="A65" s="100"/>
      <c r="B65" s="178"/>
      <c r="C65" s="18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</row>
    <row r="66" spans="1:32" s="134" customFormat="1" ht="12.75">
      <c r="A66" s="178"/>
      <c r="B66" s="178"/>
      <c r="C66" s="18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00"/>
      <c r="AB66" s="100"/>
      <c r="AC66" s="100"/>
      <c r="AD66" s="100"/>
      <c r="AE66" s="100"/>
      <c r="AF66" s="100"/>
    </row>
    <row r="67" spans="1:32" s="134" customFormat="1" ht="31.5">
      <c r="A67" s="178"/>
      <c r="B67" s="191" t="s">
        <v>400</v>
      </c>
      <c r="C67" s="192" t="s">
        <v>407</v>
      </c>
      <c r="D67" s="193" t="s">
        <v>408</v>
      </c>
      <c r="E67" s="193" t="s">
        <v>409</v>
      </c>
      <c r="F67" s="193" t="s">
        <v>410</v>
      </c>
      <c r="G67" s="193" t="s">
        <v>411</v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00"/>
      <c r="AB67" s="100"/>
      <c r="AC67" s="100"/>
      <c r="AD67" s="100"/>
      <c r="AE67" s="100"/>
      <c r="AF67" s="100"/>
    </row>
    <row r="68" spans="1:32" s="134" customFormat="1" ht="12.75">
      <c r="A68" s="178"/>
      <c r="B68" s="194" t="s">
        <v>386</v>
      </c>
      <c r="C68" s="195">
        <f>C54</f>
        <v>126751.125</v>
      </c>
      <c r="D68" s="196">
        <f>D54</f>
        <v>8331.978125</v>
      </c>
      <c r="E68" s="196">
        <f>C58</f>
        <v>173040.26060765277</v>
      </c>
      <c r="F68" s="196">
        <f>C59</f>
        <v>192638.42240758106</v>
      </c>
      <c r="G68" s="196">
        <f>C60</f>
        <v>226404.44834569818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00"/>
      <c r="AB68" s="100"/>
      <c r="AC68" s="100"/>
      <c r="AD68" s="100"/>
      <c r="AE68" s="100"/>
      <c r="AF68" s="100"/>
    </row>
    <row r="69" spans="1:32" s="134" customFormat="1" ht="12.75">
      <c r="A69" s="178"/>
      <c r="B69" s="194" t="s">
        <v>387</v>
      </c>
      <c r="C69" s="195">
        <f>C55</f>
        <v>233242.5</v>
      </c>
      <c r="D69" s="196">
        <f>D55</f>
        <v>20744.73183333333</v>
      </c>
      <c r="E69" s="196">
        <f>C62</f>
        <v>353152.6247616497</v>
      </c>
      <c r="F69" s="196">
        <f>C63</f>
        <v>401947.5933593126</v>
      </c>
      <c r="G69" s="196">
        <f>C64</f>
        <v>486017.32357882365</v>
      </c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00"/>
      <c r="AB69" s="100"/>
      <c r="AC69" s="100"/>
      <c r="AD69" s="100"/>
      <c r="AE69" s="100"/>
      <c r="AF69" s="100"/>
    </row>
  </sheetData>
  <sheetProtection/>
  <mergeCells count="12">
    <mergeCell ref="A6:D6"/>
    <mergeCell ref="A7:D7"/>
    <mergeCell ref="A8:D8"/>
    <mergeCell ref="A12:D12"/>
    <mergeCell ref="A26:D26"/>
    <mergeCell ref="A27:D27"/>
    <mergeCell ref="F36:F37"/>
    <mergeCell ref="B52:B53"/>
    <mergeCell ref="E52:E53"/>
    <mergeCell ref="G37:H37"/>
    <mergeCell ref="A28:D28"/>
    <mergeCell ref="A32:D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1"/>
  <sheetViews>
    <sheetView zoomScale="90" zoomScaleNormal="90" zoomScalePageLayoutView="0" workbookViewId="0" topLeftCell="A43">
      <selection activeCell="C163" sqref="C163"/>
    </sheetView>
  </sheetViews>
  <sheetFormatPr defaultColWidth="9.140625" defaultRowHeight="12.75" customHeight="1"/>
  <cols>
    <col min="1" max="1" width="7.140625" style="45" customWidth="1"/>
    <col min="2" max="2" width="60.28125" style="45" bestFit="1" customWidth="1"/>
    <col min="3" max="3" width="39.00390625" style="45" bestFit="1" customWidth="1"/>
    <col min="4" max="4" width="8.421875" style="45" customWidth="1"/>
    <col min="5" max="5" width="11.28125" style="45" customWidth="1"/>
    <col min="6" max="6" width="11.421875" style="45" customWidth="1"/>
    <col min="7" max="7" width="9.140625" style="45" customWidth="1"/>
    <col min="8" max="16384" width="9.140625" style="45" customWidth="1"/>
  </cols>
  <sheetData>
    <row r="2" ht="11.25">
      <c r="A2" s="63"/>
    </row>
    <row r="3" spans="1:6" ht="45">
      <c r="A3" s="64" t="s">
        <v>124</v>
      </c>
      <c r="B3" s="64"/>
      <c r="C3" s="64"/>
      <c r="D3" s="64"/>
      <c r="E3" s="64"/>
      <c r="F3" s="64"/>
    </row>
    <row r="4" spans="1:6" ht="33.75">
      <c r="A4" s="65" t="s">
        <v>30</v>
      </c>
      <c r="B4" s="65"/>
      <c r="C4" s="65"/>
      <c r="D4" s="66" t="s">
        <v>23</v>
      </c>
      <c r="E4" s="66" t="s">
        <v>69</v>
      </c>
      <c r="F4" s="65" t="s">
        <v>70</v>
      </c>
    </row>
    <row r="5" spans="1:6" ht="11.25">
      <c r="A5" s="67" t="s">
        <v>146</v>
      </c>
      <c r="B5" s="67"/>
      <c r="C5" s="67"/>
      <c r="D5" s="68"/>
      <c r="E5" s="69"/>
      <c r="F5" s="70"/>
    </row>
    <row r="6" spans="1:6" ht="11.25">
      <c r="A6" s="92">
        <v>101</v>
      </c>
      <c r="B6" s="71" t="s">
        <v>44</v>
      </c>
      <c r="C6" s="71"/>
      <c r="D6" s="72" t="s">
        <v>25</v>
      </c>
      <c r="E6" s="73">
        <v>220</v>
      </c>
      <c r="F6" s="71"/>
    </row>
    <row r="7" spans="1:6" ht="11.25">
      <c r="A7" s="92">
        <v>102</v>
      </c>
      <c r="B7" s="71" t="s">
        <v>11</v>
      </c>
      <c r="C7" s="71"/>
      <c r="D7" s="72" t="s">
        <v>59</v>
      </c>
      <c r="E7" s="73">
        <v>3800</v>
      </c>
      <c r="F7" s="74"/>
    </row>
    <row r="8" spans="1:6" ht="11.25">
      <c r="A8" s="92">
        <v>104</v>
      </c>
      <c r="B8" s="71" t="s">
        <v>42</v>
      </c>
      <c r="C8" s="71"/>
      <c r="D8" s="72" t="s">
        <v>59</v>
      </c>
      <c r="E8" s="73">
        <v>31800</v>
      </c>
      <c r="F8" s="71"/>
    </row>
    <row r="9" spans="1:6" ht="11.25">
      <c r="A9" s="92">
        <v>105</v>
      </c>
      <c r="B9" s="71" t="s">
        <v>128</v>
      </c>
      <c r="C9" s="71"/>
      <c r="D9" s="72"/>
      <c r="E9" s="73"/>
      <c r="F9" s="71"/>
    </row>
    <row r="10" spans="1:6" ht="11.25">
      <c r="A10" s="92" t="s">
        <v>138</v>
      </c>
      <c r="B10" s="71" t="s">
        <v>128</v>
      </c>
      <c r="C10" s="71" t="s">
        <v>207</v>
      </c>
      <c r="D10" s="72" t="s">
        <v>18</v>
      </c>
      <c r="E10" s="73">
        <v>1200</v>
      </c>
      <c r="F10" s="73"/>
    </row>
    <row r="11" spans="1:6" ht="11.25">
      <c r="A11" s="92" t="s">
        <v>139</v>
      </c>
      <c r="B11" s="71" t="s">
        <v>128</v>
      </c>
      <c r="C11" s="71" t="s">
        <v>209</v>
      </c>
      <c r="D11" s="72" t="s">
        <v>18</v>
      </c>
      <c r="E11" s="73">
        <v>1700</v>
      </c>
      <c r="F11" s="73"/>
    </row>
    <row r="12" spans="1:6" ht="11.25">
      <c r="A12" s="92" t="s">
        <v>140</v>
      </c>
      <c r="B12" s="71" t="s">
        <v>188</v>
      </c>
      <c r="C12" s="71" t="s">
        <v>210</v>
      </c>
      <c r="D12" s="72" t="s">
        <v>18</v>
      </c>
      <c r="E12" s="73">
        <v>1750</v>
      </c>
      <c r="F12" s="73"/>
    </row>
    <row r="13" spans="1:6" ht="11.25">
      <c r="A13" s="92" t="s">
        <v>141</v>
      </c>
      <c r="B13" s="71" t="s">
        <v>188</v>
      </c>
      <c r="C13" s="71" t="s">
        <v>208</v>
      </c>
      <c r="D13" s="72" t="s">
        <v>18</v>
      </c>
      <c r="E13" s="73">
        <v>1800</v>
      </c>
      <c r="F13" s="73"/>
    </row>
    <row r="14" spans="1:6" ht="11.25">
      <c r="A14" s="92">
        <v>106</v>
      </c>
      <c r="B14" s="71" t="s">
        <v>211</v>
      </c>
      <c r="C14" s="71"/>
      <c r="D14" s="72"/>
      <c r="E14" s="73"/>
      <c r="F14" s="73"/>
    </row>
    <row r="15" spans="1:6" ht="11.25">
      <c r="A15" s="92" t="s">
        <v>10</v>
      </c>
      <c r="B15" s="71" t="s">
        <v>211</v>
      </c>
      <c r="C15" s="71" t="s">
        <v>189</v>
      </c>
      <c r="D15" s="72" t="s">
        <v>59</v>
      </c>
      <c r="E15" s="73">
        <v>28000</v>
      </c>
      <c r="F15" s="71"/>
    </row>
    <row r="16" spans="1:6" ht="11.25">
      <c r="A16" s="92" t="s">
        <v>135</v>
      </c>
      <c r="B16" s="71" t="s">
        <v>211</v>
      </c>
      <c r="C16" s="71" t="s">
        <v>212</v>
      </c>
      <c r="D16" s="72" t="s">
        <v>59</v>
      </c>
      <c r="E16" s="73">
        <v>74400</v>
      </c>
      <c r="F16" s="71"/>
    </row>
    <row r="17" spans="1:6" ht="11.25">
      <c r="A17" s="92" t="s">
        <v>136</v>
      </c>
      <c r="B17" s="71" t="s">
        <v>211</v>
      </c>
      <c r="C17" s="71" t="s">
        <v>213</v>
      </c>
      <c r="D17" s="72" t="s">
        <v>59</v>
      </c>
      <c r="E17" s="73">
        <v>112000</v>
      </c>
      <c r="F17" s="71"/>
    </row>
    <row r="18" spans="1:6" ht="11.25">
      <c r="A18" s="92">
        <v>107</v>
      </c>
      <c r="B18" s="71" t="s">
        <v>194</v>
      </c>
      <c r="C18" s="71"/>
      <c r="D18" s="72"/>
      <c r="E18" s="73"/>
      <c r="F18" s="71"/>
    </row>
    <row r="19" spans="1:6" ht="11.25">
      <c r="A19" s="92" t="s">
        <v>142</v>
      </c>
      <c r="B19" s="71" t="s">
        <v>194</v>
      </c>
      <c r="C19" s="71" t="s">
        <v>203</v>
      </c>
      <c r="D19" s="72" t="s">
        <v>38</v>
      </c>
      <c r="E19" s="73"/>
      <c r="F19" s="73"/>
    </row>
    <row r="20" spans="1:6" ht="11.25">
      <c r="A20" s="92" t="s">
        <v>143</v>
      </c>
      <c r="B20" s="71" t="s">
        <v>194</v>
      </c>
      <c r="C20" s="71" t="s">
        <v>204</v>
      </c>
      <c r="D20" s="72" t="s">
        <v>38</v>
      </c>
      <c r="E20" s="73"/>
      <c r="F20" s="73"/>
    </row>
    <row r="21" spans="1:6" ht="11.25">
      <c r="A21" s="92" t="s">
        <v>144</v>
      </c>
      <c r="B21" s="71" t="s">
        <v>194</v>
      </c>
      <c r="C21" s="71" t="s">
        <v>205</v>
      </c>
      <c r="D21" s="72" t="s">
        <v>38</v>
      </c>
      <c r="E21" s="73">
        <v>570</v>
      </c>
      <c r="F21" s="73"/>
    </row>
    <row r="22" spans="1:6" ht="11.25">
      <c r="A22" s="92" t="s">
        <v>202</v>
      </c>
      <c r="B22" s="71" t="s">
        <v>194</v>
      </c>
      <c r="C22" s="71" t="s">
        <v>206</v>
      </c>
      <c r="D22" s="72" t="s">
        <v>38</v>
      </c>
      <c r="E22" s="73">
        <v>450</v>
      </c>
      <c r="F22" s="73"/>
    </row>
    <row r="23" spans="1:6" ht="11.25">
      <c r="A23" s="92">
        <v>108</v>
      </c>
      <c r="B23" s="71" t="s">
        <v>191</v>
      </c>
      <c r="C23" s="71"/>
      <c r="D23" s="72"/>
      <c r="E23" s="73"/>
      <c r="F23" s="73"/>
    </row>
    <row r="24" spans="1:6" ht="11.25">
      <c r="A24" s="92" t="s">
        <v>60</v>
      </c>
      <c r="B24" s="71" t="s">
        <v>191</v>
      </c>
      <c r="C24" s="71" t="s">
        <v>193</v>
      </c>
      <c r="D24" s="72" t="s">
        <v>38</v>
      </c>
      <c r="E24" s="73">
        <v>250</v>
      </c>
      <c r="F24" s="73"/>
    </row>
    <row r="25" spans="1:6" ht="12.75" customHeight="1">
      <c r="A25" s="92" t="s">
        <v>145</v>
      </c>
      <c r="B25" s="71" t="s">
        <v>191</v>
      </c>
      <c r="C25" s="71" t="s">
        <v>192</v>
      </c>
      <c r="D25" s="72" t="s">
        <v>38</v>
      </c>
      <c r="E25" s="73"/>
      <c r="F25" s="73"/>
    </row>
    <row r="26" spans="1:7" ht="12" customHeight="1">
      <c r="A26" s="92" t="s">
        <v>65</v>
      </c>
      <c r="B26" s="75" t="s">
        <v>285</v>
      </c>
      <c r="C26" s="75" t="s">
        <v>189</v>
      </c>
      <c r="D26" s="76" t="s">
        <v>59</v>
      </c>
      <c r="E26" s="77">
        <f>20000-5000</f>
        <v>15000</v>
      </c>
      <c r="F26" s="75"/>
      <c r="G26" s="43"/>
    </row>
    <row r="27" spans="1:7" ht="12" customHeight="1">
      <c r="A27" s="92" t="s">
        <v>151</v>
      </c>
      <c r="B27" s="75" t="s">
        <v>285</v>
      </c>
      <c r="C27" s="75" t="s">
        <v>190</v>
      </c>
      <c r="D27" s="76" t="s">
        <v>59</v>
      </c>
      <c r="E27" s="77">
        <f>60000-10000</f>
        <v>50000</v>
      </c>
      <c r="F27" s="75"/>
      <c r="G27" s="43"/>
    </row>
    <row r="28" spans="1:6" ht="11.25">
      <c r="A28" s="67" t="s">
        <v>147</v>
      </c>
      <c r="B28" s="67"/>
      <c r="C28" s="67"/>
      <c r="D28" s="68"/>
      <c r="E28" s="69"/>
      <c r="F28" s="70"/>
    </row>
    <row r="29" spans="1:6" ht="11.25">
      <c r="A29" s="92">
        <v>201</v>
      </c>
      <c r="B29" s="71" t="s">
        <v>351</v>
      </c>
      <c r="C29" s="71"/>
      <c r="D29" s="72" t="s">
        <v>25</v>
      </c>
      <c r="E29" s="79"/>
      <c r="F29" s="71"/>
    </row>
    <row r="30" spans="1:6" ht="11.25">
      <c r="A30" s="92" t="s">
        <v>163</v>
      </c>
      <c r="B30" s="71" t="s">
        <v>351</v>
      </c>
      <c r="C30" s="71" t="s">
        <v>57</v>
      </c>
      <c r="D30" s="72" t="s">
        <v>25</v>
      </c>
      <c r="E30" s="79">
        <v>120</v>
      </c>
      <c r="F30" s="71"/>
    </row>
    <row r="31" spans="1:6" ht="11.25">
      <c r="A31" s="92" t="s">
        <v>164</v>
      </c>
      <c r="B31" s="71" t="s">
        <v>351</v>
      </c>
      <c r="C31" s="71" t="s">
        <v>24</v>
      </c>
      <c r="D31" s="72" t="s">
        <v>25</v>
      </c>
      <c r="E31" s="79">
        <v>200</v>
      </c>
      <c r="F31" s="71"/>
    </row>
    <row r="32" spans="1:6" ht="11.25">
      <c r="A32" s="92" t="s">
        <v>187</v>
      </c>
      <c r="B32" s="71" t="s">
        <v>351</v>
      </c>
      <c r="C32" s="71" t="s">
        <v>57</v>
      </c>
      <c r="D32" s="72" t="s">
        <v>25</v>
      </c>
      <c r="E32" s="79">
        <v>100</v>
      </c>
      <c r="F32" s="71"/>
    </row>
    <row r="33" spans="1:6" ht="11.25">
      <c r="A33" s="92" t="s">
        <v>239</v>
      </c>
      <c r="B33" s="71" t="s">
        <v>351</v>
      </c>
      <c r="C33" s="71" t="s">
        <v>24</v>
      </c>
      <c r="D33" s="72" t="s">
        <v>25</v>
      </c>
      <c r="E33" s="79">
        <v>190</v>
      </c>
      <c r="F33" s="71"/>
    </row>
    <row r="34" spans="1:6" ht="11.25">
      <c r="A34" s="92" t="s">
        <v>240</v>
      </c>
      <c r="B34" s="71" t="s">
        <v>241</v>
      </c>
      <c r="C34" s="71" t="s">
        <v>242</v>
      </c>
      <c r="D34" s="72" t="s">
        <v>25</v>
      </c>
      <c r="E34" s="79">
        <v>120</v>
      </c>
      <c r="F34" s="71"/>
    </row>
    <row r="35" spans="1:6" ht="11.25">
      <c r="A35" s="92">
        <v>202</v>
      </c>
      <c r="B35" s="71" t="s">
        <v>16</v>
      </c>
      <c r="C35" s="71" t="s">
        <v>80</v>
      </c>
      <c r="D35" s="72" t="s">
        <v>59</v>
      </c>
      <c r="E35" s="73">
        <v>900</v>
      </c>
      <c r="F35" s="71"/>
    </row>
    <row r="36" spans="1:6" ht="11.25">
      <c r="A36" s="92">
        <v>203</v>
      </c>
      <c r="B36" s="71" t="s">
        <v>291</v>
      </c>
      <c r="C36" s="71" t="s">
        <v>215</v>
      </c>
      <c r="D36" s="72" t="s">
        <v>31</v>
      </c>
      <c r="E36" s="73">
        <v>1900</v>
      </c>
      <c r="F36" s="71"/>
    </row>
    <row r="37" spans="1:6" ht="11.25">
      <c r="A37" s="92" t="s">
        <v>290</v>
      </c>
      <c r="B37" s="71" t="s">
        <v>21</v>
      </c>
      <c r="C37" s="71" t="s">
        <v>215</v>
      </c>
      <c r="D37" s="72" t="s">
        <v>31</v>
      </c>
      <c r="E37" s="73">
        <v>1900</v>
      </c>
      <c r="F37" s="71"/>
    </row>
    <row r="38" spans="1:6" ht="11.25">
      <c r="A38" s="92">
        <v>204</v>
      </c>
      <c r="B38" s="71" t="s">
        <v>225</v>
      </c>
      <c r="C38" s="71" t="s">
        <v>226</v>
      </c>
      <c r="D38" s="72" t="s">
        <v>31</v>
      </c>
      <c r="E38" s="73">
        <v>20000</v>
      </c>
      <c r="F38" s="71"/>
    </row>
    <row r="39" spans="1:6" ht="11.25">
      <c r="A39" s="92">
        <v>205</v>
      </c>
      <c r="B39" s="71" t="s">
        <v>33</v>
      </c>
      <c r="C39" s="71"/>
      <c r="D39" s="72" t="s">
        <v>31</v>
      </c>
      <c r="E39" s="80">
        <v>1500</v>
      </c>
      <c r="F39" s="71"/>
    </row>
    <row r="40" spans="1:6" ht="11.25">
      <c r="A40" s="92">
        <v>206</v>
      </c>
      <c r="B40" s="71" t="s">
        <v>118</v>
      </c>
      <c r="C40" s="71" t="s">
        <v>125</v>
      </c>
      <c r="D40" s="72" t="s">
        <v>31</v>
      </c>
      <c r="E40" s="77">
        <v>6000</v>
      </c>
      <c r="F40" s="71"/>
    </row>
    <row r="41" spans="1:6" ht="11.25">
      <c r="A41" s="92">
        <v>207</v>
      </c>
      <c r="B41" s="71" t="s">
        <v>223</v>
      </c>
      <c r="C41" s="71"/>
      <c r="D41" s="72"/>
      <c r="E41" s="73"/>
      <c r="F41" s="71"/>
    </row>
    <row r="42" spans="1:6" ht="11.25">
      <c r="A42" s="92" t="s">
        <v>216</v>
      </c>
      <c r="B42" s="71" t="s">
        <v>223</v>
      </c>
      <c r="C42" s="71" t="s">
        <v>203</v>
      </c>
      <c r="D42" s="72" t="s">
        <v>38</v>
      </c>
      <c r="E42" s="73"/>
      <c r="F42" s="73"/>
    </row>
    <row r="43" spans="1:6" ht="11.25">
      <c r="A43" s="92" t="s">
        <v>217</v>
      </c>
      <c r="B43" s="71" t="s">
        <v>223</v>
      </c>
      <c r="C43" s="71" t="s">
        <v>204</v>
      </c>
      <c r="D43" s="72" t="s">
        <v>38</v>
      </c>
      <c r="E43" s="73"/>
      <c r="F43" s="73"/>
    </row>
    <row r="44" spans="1:6" ht="11.25">
      <c r="A44" s="92" t="s">
        <v>218</v>
      </c>
      <c r="B44" s="71" t="s">
        <v>223</v>
      </c>
      <c r="C44" s="71" t="s">
        <v>205</v>
      </c>
      <c r="D44" s="72" t="s">
        <v>38</v>
      </c>
      <c r="E44" s="73">
        <v>570</v>
      </c>
      <c r="F44" s="73"/>
    </row>
    <row r="45" spans="1:6" ht="11.25">
      <c r="A45" s="92" t="s">
        <v>219</v>
      </c>
      <c r="B45" s="71" t="s">
        <v>223</v>
      </c>
      <c r="C45" s="71" t="s">
        <v>206</v>
      </c>
      <c r="D45" s="72" t="s">
        <v>38</v>
      </c>
      <c r="E45" s="73">
        <v>450</v>
      </c>
      <c r="F45" s="73"/>
    </row>
    <row r="46" spans="1:6" ht="11.25">
      <c r="A46" s="92">
        <v>208</v>
      </c>
      <c r="B46" s="71" t="s">
        <v>224</v>
      </c>
      <c r="C46" s="71"/>
      <c r="D46" s="72"/>
      <c r="E46" s="73"/>
      <c r="F46" s="73"/>
    </row>
    <row r="47" spans="1:6" ht="11.25">
      <c r="A47" s="92" t="s">
        <v>220</v>
      </c>
      <c r="B47" s="71" t="s">
        <v>224</v>
      </c>
      <c r="C47" s="71" t="s">
        <v>193</v>
      </c>
      <c r="D47" s="72" t="s">
        <v>38</v>
      </c>
      <c r="E47" s="73">
        <v>250</v>
      </c>
      <c r="F47" s="73"/>
    </row>
    <row r="48" spans="1:6" ht="12.75" customHeight="1">
      <c r="A48" s="92" t="s">
        <v>221</v>
      </c>
      <c r="B48" s="71" t="s">
        <v>224</v>
      </c>
      <c r="C48" s="71" t="s">
        <v>192</v>
      </c>
      <c r="D48" s="72" t="s">
        <v>38</v>
      </c>
      <c r="E48" s="73"/>
      <c r="F48" s="73"/>
    </row>
    <row r="49" spans="1:6" ht="12.75" customHeight="1">
      <c r="A49" s="92">
        <v>209</v>
      </c>
      <c r="B49" s="71" t="s">
        <v>222</v>
      </c>
      <c r="C49" s="71" t="s">
        <v>312</v>
      </c>
      <c r="D49" s="72" t="s">
        <v>31</v>
      </c>
      <c r="E49" s="73">
        <v>2000</v>
      </c>
      <c r="F49" s="73"/>
    </row>
    <row r="50" spans="1:6" ht="11.25">
      <c r="A50" s="67" t="s">
        <v>148</v>
      </c>
      <c r="B50" s="67"/>
      <c r="C50" s="67"/>
      <c r="D50" s="68"/>
      <c r="E50" s="69"/>
      <c r="F50" s="70"/>
    </row>
    <row r="51" spans="1:6" ht="11.25">
      <c r="A51" s="92">
        <v>301</v>
      </c>
      <c r="B51" s="71" t="s">
        <v>352</v>
      </c>
      <c r="C51" s="71"/>
      <c r="D51" s="72" t="s">
        <v>25</v>
      </c>
      <c r="E51" s="73"/>
      <c r="F51" s="71"/>
    </row>
    <row r="52" spans="1:6" ht="11.25">
      <c r="A52" s="92" t="s">
        <v>152</v>
      </c>
      <c r="B52" s="71" t="s">
        <v>352</v>
      </c>
      <c r="C52" s="71" t="s">
        <v>24</v>
      </c>
      <c r="D52" s="72" t="s">
        <v>25</v>
      </c>
      <c r="E52" s="73">
        <v>210</v>
      </c>
      <c r="F52" s="71"/>
    </row>
    <row r="53" spans="1:6" ht="11.25">
      <c r="A53" s="92" t="s">
        <v>154</v>
      </c>
      <c r="B53" s="71" t="s">
        <v>352</v>
      </c>
      <c r="C53" s="71" t="s">
        <v>20</v>
      </c>
      <c r="D53" s="72" t="s">
        <v>25</v>
      </c>
      <c r="E53" s="73">
        <v>250</v>
      </c>
      <c r="F53" s="71"/>
    </row>
    <row r="54" spans="1:6" ht="11.25">
      <c r="A54" s="92" t="s">
        <v>155</v>
      </c>
      <c r="B54" s="71" t="s">
        <v>352</v>
      </c>
      <c r="C54" s="71" t="s">
        <v>47</v>
      </c>
      <c r="D54" s="72" t="s">
        <v>25</v>
      </c>
      <c r="E54" s="73"/>
      <c r="F54" s="71"/>
    </row>
    <row r="55" spans="1:6" ht="11.25">
      <c r="A55" s="92" t="s">
        <v>156</v>
      </c>
      <c r="B55" s="71" t="s">
        <v>352</v>
      </c>
      <c r="C55" s="71" t="s">
        <v>22</v>
      </c>
      <c r="D55" s="72" t="s">
        <v>25</v>
      </c>
      <c r="E55" s="73"/>
      <c r="F55" s="71"/>
    </row>
    <row r="56" spans="1:6" ht="11.25">
      <c r="A56" s="92" t="s">
        <v>243</v>
      </c>
      <c r="B56" s="71" t="s">
        <v>49</v>
      </c>
      <c r="C56" s="71" t="s">
        <v>24</v>
      </c>
      <c r="D56" s="72" t="s">
        <v>25</v>
      </c>
      <c r="E56" s="73">
        <v>200</v>
      </c>
      <c r="F56" s="71"/>
    </row>
    <row r="57" spans="1:6" ht="11.25">
      <c r="A57" s="92" t="s">
        <v>244</v>
      </c>
      <c r="B57" s="71" t="s">
        <v>49</v>
      </c>
      <c r="C57" s="71" t="s">
        <v>20</v>
      </c>
      <c r="D57" s="72" t="s">
        <v>25</v>
      </c>
      <c r="E57" s="73">
        <v>240</v>
      </c>
      <c r="F57" s="71"/>
    </row>
    <row r="58" spans="1:6" ht="11.25">
      <c r="A58" s="92" t="s">
        <v>245</v>
      </c>
      <c r="B58" s="71" t="s">
        <v>49</v>
      </c>
      <c r="C58" s="71" t="s">
        <v>47</v>
      </c>
      <c r="D58" s="72" t="s">
        <v>25</v>
      </c>
      <c r="E58" s="73">
        <v>550</v>
      </c>
      <c r="F58" s="71"/>
    </row>
    <row r="59" spans="1:6" ht="11.25">
      <c r="A59" s="92" t="s">
        <v>246</v>
      </c>
      <c r="B59" s="71" t="s">
        <v>49</v>
      </c>
      <c r="C59" s="71" t="s">
        <v>22</v>
      </c>
      <c r="D59" s="72" t="s">
        <v>25</v>
      </c>
      <c r="E59" s="73">
        <v>750</v>
      </c>
      <c r="F59" s="71"/>
    </row>
    <row r="60" spans="1:6" ht="11.25">
      <c r="A60" s="92">
        <v>302</v>
      </c>
      <c r="B60" s="71" t="s">
        <v>350</v>
      </c>
      <c r="C60" s="71"/>
      <c r="D60" s="72" t="s">
        <v>25</v>
      </c>
      <c r="E60" s="73"/>
      <c r="F60" s="71"/>
    </row>
    <row r="61" spans="1:6" ht="11.25">
      <c r="A61" s="92" t="s">
        <v>153</v>
      </c>
      <c r="B61" s="71" t="s">
        <v>350</v>
      </c>
      <c r="C61" s="71" t="s">
        <v>15</v>
      </c>
      <c r="D61" s="72" t="s">
        <v>25</v>
      </c>
      <c r="E61" s="73">
        <v>120</v>
      </c>
      <c r="F61" s="71"/>
    </row>
    <row r="62" spans="1:6" ht="11.25">
      <c r="A62" s="92" t="s">
        <v>157</v>
      </c>
      <c r="B62" s="71" t="s">
        <v>350</v>
      </c>
      <c r="C62" s="71" t="s">
        <v>24</v>
      </c>
      <c r="D62" s="72" t="s">
        <v>25</v>
      </c>
      <c r="E62" s="73">
        <v>200</v>
      </c>
      <c r="F62" s="71"/>
    </row>
    <row r="63" spans="1:6" ht="11.25">
      <c r="A63" s="92" t="s">
        <v>158</v>
      </c>
      <c r="B63" s="71" t="s">
        <v>350</v>
      </c>
      <c r="C63" s="71" t="s">
        <v>51</v>
      </c>
      <c r="D63" s="72" t="s">
        <v>25</v>
      </c>
      <c r="E63" s="73">
        <v>120</v>
      </c>
      <c r="F63" s="71"/>
    </row>
    <row r="64" spans="1:6" ht="11.25">
      <c r="A64" s="92" t="s">
        <v>159</v>
      </c>
      <c r="B64" s="71" t="s">
        <v>350</v>
      </c>
      <c r="C64" s="71" t="s">
        <v>24</v>
      </c>
      <c r="D64" s="72" t="s">
        <v>25</v>
      </c>
      <c r="E64" s="73">
        <v>190</v>
      </c>
      <c r="F64" s="71"/>
    </row>
    <row r="65" spans="1:6" ht="11.25">
      <c r="A65" s="92">
        <v>303</v>
      </c>
      <c r="B65" s="71" t="s">
        <v>235</v>
      </c>
      <c r="C65" s="71"/>
      <c r="D65" s="72"/>
      <c r="E65" s="73"/>
      <c r="F65" s="71"/>
    </row>
    <row r="66" spans="1:7" ht="11.25">
      <c r="A66" s="92" t="s">
        <v>160</v>
      </c>
      <c r="B66" s="71" t="s">
        <v>229</v>
      </c>
      <c r="C66" s="71" t="s">
        <v>232</v>
      </c>
      <c r="D66" s="72" t="s">
        <v>59</v>
      </c>
      <c r="E66" s="73">
        <v>35000</v>
      </c>
      <c r="F66" s="73"/>
      <c r="G66" s="81"/>
    </row>
    <row r="67" spans="1:7" ht="11.25">
      <c r="A67" s="92" t="s">
        <v>161</v>
      </c>
      <c r="B67" s="71" t="s">
        <v>230</v>
      </c>
      <c r="C67" s="71" t="s">
        <v>231</v>
      </c>
      <c r="D67" s="72" t="s">
        <v>59</v>
      </c>
      <c r="E67" s="73">
        <v>40000</v>
      </c>
      <c r="F67" s="73"/>
      <c r="G67" s="81"/>
    </row>
    <row r="68" spans="1:7" ht="11.25">
      <c r="A68" s="92" t="s">
        <v>162</v>
      </c>
      <c r="B68" s="71" t="s">
        <v>233</v>
      </c>
      <c r="C68" s="71" t="s">
        <v>234</v>
      </c>
      <c r="D68" s="72" t="s">
        <v>59</v>
      </c>
      <c r="E68" s="73">
        <v>50000</v>
      </c>
      <c r="F68" s="73"/>
      <c r="G68" s="81"/>
    </row>
    <row r="69" spans="1:6" ht="11.25">
      <c r="A69" s="92" t="s">
        <v>165</v>
      </c>
      <c r="B69" s="71" t="s">
        <v>1</v>
      </c>
      <c r="C69" s="71"/>
      <c r="D69" s="72" t="s">
        <v>59</v>
      </c>
      <c r="E69" s="82"/>
      <c r="F69" s="71"/>
    </row>
    <row r="70" spans="1:6" ht="11.25">
      <c r="A70" s="92">
        <v>304</v>
      </c>
      <c r="B70" s="71" t="s">
        <v>16</v>
      </c>
      <c r="C70" s="71" t="s">
        <v>289</v>
      </c>
      <c r="D70" s="72" t="s">
        <v>59</v>
      </c>
      <c r="E70" s="73">
        <v>900</v>
      </c>
      <c r="F70" s="71"/>
    </row>
    <row r="71" spans="1:6" ht="11.25">
      <c r="A71" s="92">
        <v>305</v>
      </c>
      <c r="B71" s="71" t="s">
        <v>306</v>
      </c>
      <c r="C71" s="71" t="s">
        <v>307</v>
      </c>
      <c r="D71" s="72" t="s">
        <v>36</v>
      </c>
      <c r="E71" s="73">
        <v>300</v>
      </c>
      <c r="F71" s="73"/>
    </row>
    <row r="72" spans="1:6" ht="11.25">
      <c r="A72" s="67" t="s">
        <v>149</v>
      </c>
      <c r="B72" s="67"/>
      <c r="C72" s="67"/>
      <c r="D72" s="67"/>
      <c r="E72" s="67"/>
      <c r="F72" s="67"/>
    </row>
    <row r="73" spans="1:6" ht="11.25">
      <c r="A73" s="92">
        <v>401</v>
      </c>
      <c r="B73" s="75" t="s">
        <v>127</v>
      </c>
      <c r="C73" s="75"/>
      <c r="D73" s="76"/>
      <c r="E73" s="77"/>
      <c r="F73" s="83"/>
    </row>
    <row r="74" spans="1:6" ht="11.25">
      <c r="A74" s="92" t="s">
        <v>236</v>
      </c>
      <c r="B74" s="75" t="s">
        <v>28</v>
      </c>
      <c r="C74" s="75"/>
      <c r="D74" s="76" t="s">
        <v>31</v>
      </c>
      <c r="E74" s="77">
        <v>128000</v>
      </c>
      <c r="F74" s="83"/>
    </row>
    <row r="75" spans="1:6" ht="11.25">
      <c r="A75" s="92" t="s">
        <v>237</v>
      </c>
      <c r="B75" s="75" t="s">
        <v>14</v>
      </c>
      <c r="C75" s="75"/>
      <c r="D75" s="76" t="s">
        <v>52</v>
      </c>
      <c r="E75" s="77">
        <v>705</v>
      </c>
      <c r="F75" s="77"/>
    </row>
    <row r="76" spans="1:6" ht="11.25">
      <c r="A76" s="92" t="s">
        <v>238</v>
      </c>
      <c r="B76" s="75" t="s">
        <v>17</v>
      </c>
      <c r="C76" s="75"/>
      <c r="D76" s="76" t="s">
        <v>52</v>
      </c>
      <c r="E76" s="77">
        <v>640</v>
      </c>
      <c r="F76" s="77"/>
    </row>
    <row r="77" spans="1:6" ht="11.25">
      <c r="A77" s="92">
        <v>402</v>
      </c>
      <c r="B77" s="75" t="s">
        <v>6</v>
      </c>
      <c r="C77" s="75"/>
      <c r="D77" s="76" t="s">
        <v>59</v>
      </c>
      <c r="E77" s="77">
        <v>51000</v>
      </c>
      <c r="F77" s="75"/>
    </row>
    <row r="78" spans="1:6" ht="11.25">
      <c r="A78" s="92">
        <v>403</v>
      </c>
      <c r="B78" s="75" t="s">
        <v>7</v>
      </c>
      <c r="C78" s="75" t="s">
        <v>311</v>
      </c>
      <c r="D78" s="76" t="s">
        <v>31</v>
      </c>
      <c r="E78" s="77">
        <v>1470600</v>
      </c>
      <c r="F78" s="75"/>
    </row>
    <row r="79" spans="1:6" ht="11.25">
      <c r="A79" s="92">
        <v>404</v>
      </c>
      <c r="B79" s="75" t="s">
        <v>9</v>
      </c>
      <c r="C79" s="75"/>
      <c r="D79" s="76" t="s">
        <v>36</v>
      </c>
      <c r="E79" s="77">
        <v>15</v>
      </c>
      <c r="F79" s="75"/>
    </row>
    <row r="80" spans="1:6" ht="11.25">
      <c r="A80" s="92">
        <v>405</v>
      </c>
      <c r="B80" s="75" t="s">
        <v>183</v>
      </c>
      <c r="C80" s="75"/>
      <c r="D80" s="76"/>
      <c r="E80" s="77"/>
      <c r="F80" s="75"/>
    </row>
    <row r="81" spans="1:6" ht="11.25">
      <c r="A81" s="92">
        <v>406</v>
      </c>
      <c r="B81" s="75" t="s">
        <v>48</v>
      </c>
      <c r="C81" s="75"/>
      <c r="D81" s="76" t="s">
        <v>31</v>
      </c>
      <c r="E81" s="77">
        <v>2600</v>
      </c>
      <c r="F81" s="75"/>
    </row>
    <row r="82" spans="1:7" ht="11.25">
      <c r="A82" s="92">
        <v>407</v>
      </c>
      <c r="B82" s="71" t="s">
        <v>285</v>
      </c>
      <c r="C82" s="71"/>
      <c r="D82" s="72" t="s">
        <v>59</v>
      </c>
      <c r="E82" s="73">
        <v>6000</v>
      </c>
      <c r="F82" s="71"/>
      <c r="G82" s="43"/>
    </row>
    <row r="83" spans="1:7" ht="11.25">
      <c r="A83" s="92">
        <v>408</v>
      </c>
      <c r="B83" s="71" t="s">
        <v>284</v>
      </c>
      <c r="C83" s="84" t="s">
        <v>126</v>
      </c>
      <c r="D83" s="72" t="s">
        <v>59</v>
      </c>
      <c r="E83" s="73">
        <v>5000</v>
      </c>
      <c r="F83" s="71"/>
      <c r="G83" s="43"/>
    </row>
    <row r="84" spans="1:6" ht="11.25">
      <c r="A84" s="67" t="s">
        <v>150</v>
      </c>
      <c r="B84" s="67"/>
      <c r="C84" s="67"/>
      <c r="D84" s="67"/>
      <c r="E84" s="67"/>
      <c r="F84" s="67"/>
    </row>
    <row r="85" spans="1:6" ht="11.25">
      <c r="A85" s="92">
        <v>501</v>
      </c>
      <c r="B85" s="71" t="s">
        <v>268</v>
      </c>
      <c r="C85" s="71"/>
      <c r="D85" s="72"/>
      <c r="E85" s="73"/>
      <c r="F85" s="71"/>
    </row>
    <row r="86" spans="1:6" ht="11.25">
      <c r="A86" s="92" t="s">
        <v>166</v>
      </c>
      <c r="B86" s="71" t="s">
        <v>178</v>
      </c>
      <c r="C86" s="71" t="s">
        <v>24</v>
      </c>
      <c r="D86" s="72" t="s">
        <v>25</v>
      </c>
      <c r="E86" s="73">
        <v>210</v>
      </c>
      <c r="F86" s="71"/>
    </row>
    <row r="87" spans="1:6" ht="11.25">
      <c r="A87" s="92" t="s">
        <v>167</v>
      </c>
      <c r="B87" s="71" t="s">
        <v>178</v>
      </c>
      <c r="C87" s="71" t="s">
        <v>20</v>
      </c>
      <c r="D87" s="72" t="s">
        <v>25</v>
      </c>
      <c r="E87" s="73">
        <v>300</v>
      </c>
      <c r="F87" s="71"/>
    </row>
    <row r="88" spans="1:6" ht="11.25">
      <c r="A88" s="92" t="s">
        <v>168</v>
      </c>
      <c r="B88" s="71" t="s">
        <v>178</v>
      </c>
      <c r="C88" s="71" t="s">
        <v>47</v>
      </c>
      <c r="D88" s="72" t="s">
        <v>25</v>
      </c>
      <c r="E88" s="73"/>
      <c r="F88" s="71"/>
    </row>
    <row r="89" spans="1:6" ht="11.25">
      <c r="A89" s="92" t="s">
        <v>169</v>
      </c>
      <c r="B89" s="71" t="s">
        <v>178</v>
      </c>
      <c r="C89" s="71" t="s">
        <v>22</v>
      </c>
      <c r="D89" s="72" t="s">
        <v>25</v>
      </c>
      <c r="E89" s="73">
        <v>1000</v>
      </c>
      <c r="F89" s="71"/>
    </row>
    <row r="90" spans="1:6" ht="11.25">
      <c r="A90" s="92" t="s">
        <v>247</v>
      </c>
      <c r="B90" s="71" t="s">
        <v>179</v>
      </c>
      <c r="C90" s="71" t="s">
        <v>24</v>
      </c>
      <c r="D90" s="72" t="s">
        <v>25</v>
      </c>
      <c r="E90" s="73">
        <v>200</v>
      </c>
      <c r="F90" s="71"/>
    </row>
    <row r="91" spans="1:6" ht="11.25">
      <c r="A91" s="92" t="s">
        <v>248</v>
      </c>
      <c r="B91" s="71" t="s">
        <v>179</v>
      </c>
      <c r="C91" s="71" t="s">
        <v>20</v>
      </c>
      <c r="D91" s="72" t="s">
        <v>25</v>
      </c>
      <c r="E91" s="73">
        <v>240</v>
      </c>
      <c r="F91" s="71"/>
    </row>
    <row r="92" spans="1:6" ht="11.25">
      <c r="A92" s="92" t="s">
        <v>249</v>
      </c>
      <c r="B92" s="71" t="s">
        <v>179</v>
      </c>
      <c r="C92" s="71" t="s">
        <v>47</v>
      </c>
      <c r="D92" s="72" t="s">
        <v>25</v>
      </c>
      <c r="E92" s="73">
        <v>550</v>
      </c>
      <c r="F92" s="71"/>
    </row>
    <row r="93" spans="1:6" ht="11.25">
      <c r="A93" s="92" t="s">
        <v>250</v>
      </c>
      <c r="B93" s="71" t="s">
        <v>179</v>
      </c>
      <c r="C93" s="71" t="s">
        <v>22</v>
      </c>
      <c r="D93" s="72" t="s">
        <v>25</v>
      </c>
      <c r="E93" s="73">
        <v>750</v>
      </c>
      <c r="F93" s="71"/>
    </row>
    <row r="94" spans="1:6" ht="11.25">
      <c r="A94" s="92">
        <v>502</v>
      </c>
      <c r="B94" s="71" t="s">
        <v>251</v>
      </c>
      <c r="C94" s="71"/>
      <c r="D94" s="72"/>
      <c r="E94" s="73"/>
      <c r="F94" s="71"/>
    </row>
    <row r="95" spans="1:6" ht="11.25">
      <c r="A95" s="92" t="s">
        <v>170</v>
      </c>
      <c r="B95" s="71" t="s">
        <v>180</v>
      </c>
      <c r="C95" s="71" t="s">
        <v>15</v>
      </c>
      <c r="D95" s="72" t="s">
        <v>25</v>
      </c>
      <c r="E95" s="73">
        <v>120</v>
      </c>
      <c r="F95" s="71"/>
    </row>
    <row r="96" spans="1:6" ht="11.25">
      <c r="A96" s="92" t="s">
        <v>171</v>
      </c>
      <c r="B96" s="71" t="s">
        <v>180</v>
      </c>
      <c r="C96" s="71" t="s">
        <v>24</v>
      </c>
      <c r="D96" s="72" t="s">
        <v>25</v>
      </c>
      <c r="E96" s="73">
        <v>200</v>
      </c>
      <c r="F96" s="71"/>
    </row>
    <row r="97" spans="1:6" ht="11.25">
      <c r="A97" s="92" t="s">
        <v>172</v>
      </c>
      <c r="B97" s="71" t="s">
        <v>181</v>
      </c>
      <c r="C97" s="71" t="s">
        <v>51</v>
      </c>
      <c r="D97" s="72" t="s">
        <v>25</v>
      </c>
      <c r="E97" s="73">
        <v>120</v>
      </c>
      <c r="F97" s="71"/>
    </row>
    <row r="98" spans="1:6" ht="11.25">
      <c r="A98" s="92" t="s">
        <v>173</v>
      </c>
      <c r="B98" s="71" t="s">
        <v>181</v>
      </c>
      <c r="C98" s="71" t="s">
        <v>24</v>
      </c>
      <c r="D98" s="72" t="s">
        <v>25</v>
      </c>
      <c r="E98" s="73">
        <v>190</v>
      </c>
      <c r="F98" s="71"/>
    </row>
    <row r="99" spans="1:6" ht="11.25">
      <c r="A99" s="92">
        <v>503</v>
      </c>
      <c r="B99" s="71" t="s">
        <v>258</v>
      </c>
      <c r="C99" s="71"/>
      <c r="D99" s="72"/>
      <c r="E99" s="73"/>
      <c r="F99" s="71"/>
    </row>
    <row r="100" spans="1:7" ht="11.25">
      <c r="A100" s="92" t="s">
        <v>176</v>
      </c>
      <c r="B100" s="71" t="s">
        <v>252</v>
      </c>
      <c r="C100" s="71" t="s">
        <v>232</v>
      </c>
      <c r="D100" s="72" t="s">
        <v>59</v>
      </c>
      <c r="E100" s="73">
        <v>35000</v>
      </c>
      <c r="F100" s="73"/>
      <c r="G100" s="81"/>
    </row>
    <row r="101" spans="1:7" ht="11.25">
      <c r="A101" s="92" t="s">
        <v>177</v>
      </c>
      <c r="B101" s="71" t="s">
        <v>259</v>
      </c>
      <c r="C101" s="71" t="s">
        <v>231</v>
      </c>
      <c r="D101" s="72" t="s">
        <v>59</v>
      </c>
      <c r="E101" s="73">
        <v>40000</v>
      </c>
      <c r="F101" s="73"/>
      <c r="G101" s="81"/>
    </row>
    <row r="102" spans="1:7" ht="11.25">
      <c r="A102" s="92" t="s">
        <v>253</v>
      </c>
      <c r="B102" s="71" t="s">
        <v>260</v>
      </c>
      <c r="C102" s="71" t="s">
        <v>234</v>
      </c>
      <c r="D102" s="72" t="s">
        <v>59</v>
      </c>
      <c r="E102" s="73">
        <v>50000</v>
      </c>
      <c r="F102" s="73"/>
      <c r="G102" s="81"/>
    </row>
    <row r="103" spans="1:6" ht="11.25">
      <c r="A103" s="92" t="s">
        <v>254</v>
      </c>
      <c r="B103" s="71" t="s">
        <v>182</v>
      </c>
      <c r="C103" s="71"/>
      <c r="D103" s="72" t="s">
        <v>59</v>
      </c>
      <c r="E103" s="82"/>
      <c r="F103" s="71"/>
    </row>
    <row r="104" spans="1:6" ht="11.25">
      <c r="A104" s="92">
        <v>504</v>
      </c>
      <c r="B104" s="71" t="s">
        <v>16</v>
      </c>
      <c r="C104" s="71" t="s">
        <v>289</v>
      </c>
      <c r="D104" s="72" t="s">
        <v>59</v>
      </c>
      <c r="E104" s="73">
        <v>900</v>
      </c>
      <c r="F104" s="71"/>
    </row>
    <row r="105" spans="1:6" ht="11.25">
      <c r="A105" s="92">
        <v>505</v>
      </c>
      <c r="B105" s="71" t="s">
        <v>262</v>
      </c>
      <c r="C105" s="71"/>
      <c r="D105" s="72" t="s">
        <v>25</v>
      </c>
      <c r="E105" s="73">
        <v>100</v>
      </c>
      <c r="F105" s="71"/>
    </row>
    <row r="106" spans="1:6" ht="11.25">
      <c r="A106" s="92" t="s">
        <v>174</v>
      </c>
      <c r="B106" s="71" t="s">
        <v>263</v>
      </c>
      <c r="C106" s="71"/>
      <c r="D106" s="72" t="s">
        <v>25</v>
      </c>
      <c r="E106" s="73">
        <v>200</v>
      </c>
      <c r="F106" s="71"/>
    </row>
    <row r="107" spans="1:6" ht="11.25">
      <c r="A107" s="92" t="s">
        <v>175</v>
      </c>
      <c r="B107" s="71" t="s">
        <v>134</v>
      </c>
      <c r="C107" s="71"/>
      <c r="D107" s="72" t="s">
        <v>25</v>
      </c>
      <c r="E107" s="73"/>
      <c r="F107" s="71"/>
    </row>
    <row r="108" spans="1:6" ht="11.25">
      <c r="A108" s="92" t="s">
        <v>292</v>
      </c>
      <c r="B108" s="71" t="s">
        <v>293</v>
      </c>
      <c r="C108" s="71" t="s">
        <v>304</v>
      </c>
      <c r="D108" s="72" t="s">
        <v>25</v>
      </c>
      <c r="E108" s="73">
        <v>100</v>
      </c>
      <c r="F108" s="71"/>
    </row>
    <row r="109" spans="1:6" ht="11.25">
      <c r="A109" s="92">
        <v>506</v>
      </c>
      <c r="B109" s="71" t="s">
        <v>261</v>
      </c>
      <c r="C109" s="71" t="s">
        <v>266</v>
      </c>
      <c r="D109" s="72" t="s">
        <v>25</v>
      </c>
      <c r="E109" s="73"/>
      <c r="F109" s="71"/>
    </row>
    <row r="110" spans="1:6" ht="11.25">
      <c r="A110" s="92" t="s">
        <v>264</v>
      </c>
      <c r="B110" s="71" t="s">
        <v>261</v>
      </c>
      <c r="C110" s="71" t="s">
        <v>267</v>
      </c>
      <c r="D110" s="72" t="s">
        <v>25</v>
      </c>
      <c r="E110" s="73"/>
      <c r="F110" s="71"/>
    </row>
    <row r="111" spans="1:6" ht="11.25">
      <c r="A111" s="92" t="s">
        <v>265</v>
      </c>
      <c r="B111" s="71" t="s">
        <v>261</v>
      </c>
      <c r="C111" s="71"/>
      <c r="D111" s="72" t="s">
        <v>25</v>
      </c>
      <c r="E111" s="73"/>
      <c r="F111" s="71"/>
    </row>
    <row r="112" spans="1:6" ht="11.25">
      <c r="A112" s="92">
        <v>507</v>
      </c>
      <c r="B112" s="71" t="s">
        <v>110</v>
      </c>
      <c r="C112" s="71" t="s">
        <v>111</v>
      </c>
      <c r="D112" s="72" t="s">
        <v>31</v>
      </c>
      <c r="E112" s="73">
        <v>1500</v>
      </c>
      <c r="F112" s="71"/>
    </row>
    <row r="113" spans="1:6" ht="11.25">
      <c r="A113" s="92">
        <v>508</v>
      </c>
      <c r="B113" s="71" t="s">
        <v>282</v>
      </c>
      <c r="C113" s="71"/>
      <c r="D113" s="72"/>
      <c r="E113" s="73"/>
      <c r="F113" s="71"/>
    </row>
    <row r="114" spans="1:7" ht="11.25">
      <c r="A114" s="92">
        <v>509</v>
      </c>
      <c r="B114" s="71" t="s">
        <v>283</v>
      </c>
      <c r="C114" s="71"/>
      <c r="D114" s="72"/>
      <c r="E114" s="73"/>
      <c r="F114" s="71"/>
      <c r="G114" s="43"/>
    </row>
    <row r="115" spans="1:6" ht="11.25">
      <c r="A115" s="92">
        <v>510</v>
      </c>
      <c r="B115" s="71" t="s">
        <v>268</v>
      </c>
      <c r="C115" s="71"/>
      <c r="D115" s="72"/>
      <c r="E115" s="73"/>
      <c r="F115" s="71"/>
    </row>
    <row r="116" spans="1:6" ht="11.25">
      <c r="A116" s="92" t="s">
        <v>294</v>
      </c>
      <c r="B116" s="71" t="s">
        <v>302</v>
      </c>
      <c r="C116" s="71" t="s">
        <v>24</v>
      </c>
      <c r="D116" s="72" t="s">
        <v>25</v>
      </c>
      <c r="E116" s="73">
        <v>210</v>
      </c>
      <c r="F116" s="71"/>
    </row>
    <row r="117" spans="1:6" ht="11.25">
      <c r="A117" s="92" t="s">
        <v>295</v>
      </c>
      <c r="B117" s="71" t="s">
        <v>302</v>
      </c>
      <c r="C117" s="71" t="s">
        <v>20</v>
      </c>
      <c r="D117" s="72" t="s">
        <v>25</v>
      </c>
      <c r="E117" s="73">
        <v>250</v>
      </c>
      <c r="F117" s="71"/>
    </row>
    <row r="118" spans="1:6" ht="11.25">
      <c r="A118" s="92" t="s">
        <v>296</v>
      </c>
      <c r="B118" s="71" t="s">
        <v>302</v>
      </c>
      <c r="C118" s="71" t="s">
        <v>47</v>
      </c>
      <c r="D118" s="72" t="s">
        <v>25</v>
      </c>
      <c r="E118" s="73"/>
      <c r="F118" s="71"/>
    </row>
    <row r="119" spans="1:6" ht="11.25">
      <c r="A119" s="92" t="s">
        <v>297</v>
      </c>
      <c r="B119" s="71" t="s">
        <v>302</v>
      </c>
      <c r="C119" s="71" t="s">
        <v>22</v>
      </c>
      <c r="D119" s="72" t="s">
        <v>25</v>
      </c>
      <c r="E119" s="73"/>
      <c r="F119" s="71"/>
    </row>
    <row r="120" spans="1:6" ht="11.25">
      <c r="A120" s="92" t="s">
        <v>298</v>
      </c>
      <c r="B120" s="71" t="s">
        <v>303</v>
      </c>
      <c r="C120" s="71" t="s">
        <v>24</v>
      </c>
      <c r="D120" s="72" t="s">
        <v>25</v>
      </c>
      <c r="E120" s="73">
        <v>200</v>
      </c>
      <c r="F120" s="71"/>
    </row>
    <row r="121" spans="1:6" ht="11.25">
      <c r="A121" s="92" t="s">
        <v>299</v>
      </c>
      <c r="B121" s="71" t="s">
        <v>303</v>
      </c>
      <c r="C121" s="71" t="s">
        <v>20</v>
      </c>
      <c r="D121" s="72" t="s">
        <v>25</v>
      </c>
      <c r="E121" s="73">
        <v>240</v>
      </c>
      <c r="F121" s="71"/>
    </row>
    <row r="122" spans="1:6" ht="11.25">
      <c r="A122" s="92" t="s">
        <v>300</v>
      </c>
      <c r="B122" s="71" t="s">
        <v>303</v>
      </c>
      <c r="C122" s="71" t="s">
        <v>47</v>
      </c>
      <c r="D122" s="72" t="s">
        <v>25</v>
      </c>
      <c r="E122" s="73">
        <v>550</v>
      </c>
      <c r="F122" s="71"/>
    </row>
    <row r="123" spans="1:6" ht="11.25">
      <c r="A123" s="92" t="s">
        <v>301</v>
      </c>
      <c r="B123" s="71" t="s">
        <v>303</v>
      </c>
      <c r="C123" s="71" t="s">
        <v>22</v>
      </c>
      <c r="D123" s="72" t="s">
        <v>25</v>
      </c>
      <c r="E123" s="73">
        <v>750</v>
      </c>
      <c r="F123" s="71"/>
    </row>
    <row r="124" spans="1:6" ht="11.25">
      <c r="A124" s="67" t="s">
        <v>195</v>
      </c>
      <c r="B124" s="67"/>
      <c r="C124" s="67"/>
      <c r="D124" s="67"/>
      <c r="E124" s="67"/>
      <c r="F124" s="67"/>
    </row>
    <row r="125" spans="1:6" ht="11.25">
      <c r="A125" s="92">
        <v>601</v>
      </c>
      <c r="B125" s="71" t="s">
        <v>186</v>
      </c>
      <c r="C125" s="71"/>
      <c r="D125" s="72" t="s">
        <v>36</v>
      </c>
      <c r="E125" s="73">
        <v>1023</v>
      </c>
      <c r="F125" s="73"/>
    </row>
    <row r="126" spans="1:6" ht="11.25">
      <c r="A126" s="92" t="s">
        <v>196</v>
      </c>
      <c r="B126" s="71" t="s">
        <v>186</v>
      </c>
      <c r="C126" s="71" t="s">
        <v>199</v>
      </c>
      <c r="D126" s="72" t="s">
        <v>36</v>
      </c>
      <c r="E126" s="73">
        <v>1023</v>
      </c>
      <c r="F126" s="73"/>
    </row>
    <row r="127" spans="1:6" ht="11.25">
      <c r="A127" s="92" t="s">
        <v>198</v>
      </c>
      <c r="B127" s="71" t="s">
        <v>186</v>
      </c>
      <c r="C127" s="71" t="s">
        <v>200</v>
      </c>
      <c r="D127" s="72" t="s">
        <v>36</v>
      </c>
      <c r="E127" s="73">
        <v>1023</v>
      </c>
      <c r="F127" s="73"/>
    </row>
    <row r="128" spans="1:6" ht="11.25">
      <c r="A128" s="92" t="s">
        <v>201</v>
      </c>
      <c r="B128" s="71" t="s">
        <v>186</v>
      </c>
      <c r="C128" s="71"/>
      <c r="D128" s="72" t="s">
        <v>36</v>
      </c>
      <c r="E128" s="73"/>
      <c r="F128" s="73"/>
    </row>
    <row r="129" spans="1:6" ht="11.25">
      <c r="A129" s="92">
        <v>602</v>
      </c>
      <c r="B129" s="71" t="s">
        <v>63</v>
      </c>
      <c r="C129" s="71"/>
      <c r="D129" s="72" t="s">
        <v>36</v>
      </c>
      <c r="E129" s="73"/>
      <c r="F129" s="73"/>
    </row>
    <row r="130" spans="1:6" ht="11.25">
      <c r="A130" s="92" t="s">
        <v>197</v>
      </c>
      <c r="B130" s="71" t="s">
        <v>63</v>
      </c>
      <c r="C130" s="71" t="s">
        <v>199</v>
      </c>
      <c r="D130" s="72" t="s">
        <v>36</v>
      </c>
      <c r="E130" s="73">
        <v>1000</v>
      </c>
      <c r="F130" s="73"/>
    </row>
    <row r="131" spans="1:6" ht="11.25">
      <c r="A131" s="92">
        <v>603</v>
      </c>
      <c r="B131" s="71" t="s">
        <v>137</v>
      </c>
      <c r="C131" s="71"/>
      <c r="D131" s="72" t="s">
        <v>36</v>
      </c>
      <c r="E131" s="73">
        <v>300</v>
      </c>
      <c r="F131" s="73"/>
    </row>
    <row r="132" spans="1:6" ht="11.25">
      <c r="A132" s="92">
        <v>604</v>
      </c>
      <c r="B132" s="71" t="s">
        <v>255</v>
      </c>
      <c r="C132" s="71"/>
      <c r="D132" s="72"/>
      <c r="E132" s="73"/>
      <c r="F132" s="73"/>
    </row>
    <row r="133" spans="1:6" ht="11.25">
      <c r="A133" s="92" t="s">
        <v>256</v>
      </c>
      <c r="B133" s="71" t="s">
        <v>286</v>
      </c>
      <c r="C133" s="71" t="s">
        <v>121</v>
      </c>
      <c r="D133" s="72" t="s">
        <v>25</v>
      </c>
      <c r="E133" s="73">
        <v>45</v>
      </c>
      <c r="F133" s="73"/>
    </row>
    <row r="134" spans="1:6" ht="11.25">
      <c r="A134" s="92" t="s">
        <v>257</v>
      </c>
      <c r="B134" s="71" t="s">
        <v>255</v>
      </c>
      <c r="C134" s="71"/>
      <c r="D134" s="72" t="s">
        <v>25</v>
      </c>
      <c r="E134" s="73"/>
      <c r="F134" s="71"/>
    </row>
    <row r="135" spans="1:6" ht="11.25">
      <c r="A135" s="92">
        <v>605</v>
      </c>
      <c r="B135" s="71" t="s">
        <v>54</v>
      </c>
      <c r="C135" s="71" t="s">
        <v>81</v>
      </c>
      <c r="D135" s="72" t="s">
        <v>31</v>
      </c>
      <c r="E135" s="73">
        <v>14000</v>
      </c>
      <c r="F135" s="71"/>
    </row>
    <row r="136" spans="1:6" ht="11.25">
      <c r="A136" s="67" t="s">
        <v>184</v>
      </c>
      <c r="B136" s="67"/>
      <c r="C136" s="67"/>
      <c r="D136" s="67"/>
      <c r="E136" s="67"/>
      <c r="F136" s="67"/>
    </row>
    <row r="137" spans="1:6" ht="11.25">
      <c r="A137" s="92">
        <v>1001</v>
      </c>
      <c r="B137" s="71" t="s">
        <v>34</v>
      </c>
      <c r="C137" s="71"/>
      <c r="D137" s="72" t="s">
        <v>25</v>
      </c>
      <c r="E137" s="73">
        <v>10</v>
      </c>
      <c r="F137" s="71"/>
    </row>
    <row r="138" spans="1:6" ht="11.25">
      <c r="A138" s="92">
        <v>1002</v>
      </c>
      <c r="B138" s="71" t="s">
        <v>27</v>
      </c>
      <c r="C138" s="71"/>
      <c r="D138" s="72" t="s">
        <v>25</v>
      </c>
      <c r="E138" s="73">
        <v>13</v>
      </c>
      <c r="F138" s="71"/>
    </row>
    <row r="139" spans="1:6" ht="11.25">
      <c r="A139" s="92">
        <v>1003</v>
      </c>
      <c r="B139" s="71" t="s">
        <v>55</v>
      </c>
      <c r="C139" s="71"/>
      <c r="D139" s="72" t="s">
        <v>25</v>
      </c>
      <c r="E139" s="73">
        <v>26</v>
      </c>
      <c r="F139" s="71"/>
    </row>
    <row r="140" spans="1:6" ht="11.25">
      <c r="A140" s="92">
        <v>1004</v>
      </c>
      <c r="B140" s="71" t="s">
        <v>29</v>
      </c>
      <c r="C140" s="71"/>
      <c r="D140" s="72" t="s">
        <v>8</v>
      </c>
      <c r="E140" s="73">
        <v>400</v>
      </c>
      <c r="F140" s="71"/>
    </row>
    <row r="141" spans="1:6" ht="11.25">
      <c r="A141" s="92">
        <v>1005</v>
      </c>
      <c r="B141" s="71" t="s">
        <v>3</v>
      </c>
      <c r="C141" s="71"/>
      <c r="D141" s="72" t="s">
        <v>31</v>
      </c>
      <c r="E141" s="73">
        <v>200</v>
      </c>
      <c r="F141" s="71"/>
    </row>
    <row r="142" spans="1:6" ht="11.25">
      <c r="A142" s="92">
        <v>1006</v>
      </c>
      <c r="B142" s="71" t="s">
        <v>2</v>
      </c>
      <c r="C142" s="71"/>
      <c r="D142" s="72" t="s">
        <v>31</v>
      </c>
      <c r="E142" s="73">
        <v>2000</v>
      </c>
      <c r="F142" s="71"/>
    </row>
    <row r="143" spans="1:6" ht="11.25">
      <c r="A143" s="92">
        <v>1007</v>
      </c>
      <c r="B143" s="71" t="s">
        <v>308</v>
      </c>
      <c r="C143" s="71"/>
      <c r="D143" s="72" t="s">
        <v>31</v>
      </c>
      <c r="E143" s="73">
        <v>10000</v>
      </c>
      <c r="F143" s="71"/>
    </row>
    <row r="144" spans="1:6" ht="11.25">
      <c r="A144" s="92">
        <v>1008</v>
      </c>
      <c r="B144" s="71" t="s">
        <v>309</v>
      </c>
      <c r="C144" s="71"/>
      <c r="D144" s="72" t="s">
        <v>31</v>
      </c>
      <c r="E144" s="73">
        <v>30000</v>
      </c>
      <c r="F144" s="71"/>
    </row>
    <row r="145" spans="1:6" ht="11.25">
      <c r="A145" s="92">
        <v>1009</v>
      </c>
      <c r="B145" s="71" t="s">
        <v>310</v>
      </c>
      <c r="C145" s="71"/>
      <c r="D145" s="72" t="s">
        <v>31</v>
      </c>
      <c r="E145" s="73">
        <v>5000</v>
      </c>
      <c r="F145" s="71"/>
    </row>
    <row r="146" spans="1:6" ht="11.25">
      <c r="A146" s="67" t="s">
        <v>185</v>
      </c>
      <c r="B146" s="67"/>
      <c r="C146" s="67"/>
      <c r="D146" s="67"/>
      <c r="E146" s="67"/>
      <c r="F146" s="67"/>
    </row>
    <row r="147" spans="1:6" ht="11.25">
      <c r="A147" s="92">
        <v>2001</v>
      </c>
      <c r="B147" s="71" t="s">
        <v>119</v>
      </c>
      <c r="C147" s="71" t="s">
        <v>120</v>
      </c>
      <c r="D147" s="72" t="s">
        <v>36</v>
      </c>
      <c r="E147" s="73">
        <v>3</v>
      </c>
      <c r="F147" s="77"/>
    </row>
    <row r="148" spans="1:6" ht="11.25">
      <c r="A148" s="92">
        <v>2002</v>
      </c>
      <c r="B148" s="71" t="s">
        <v>40</v>
      </c>
      <c r="C148" s="71"/>
      <c r="D148" s="72" t="s">
        <v>26</v>
      </c>
      <c r="E148" s="73">
        <v>5</v>
      </c>
      <c r="F148" s="71"/>
    </row>
    <row r="149" spans="1:6" ht="11.25">
      <c r="A149" s="92">
        <v>2003</v>
      </c>
      <c r="B149" s="71" t="s">
        <v>58</v>
      </c>
      <c r="C149" s="71"/>
      <c r="D149" s="72" t="s">
        <v>26</v>
      </c>
      <c r="E149" s="73">
        <v>9</v>
      </c>
      <c r="F149" s="71"/>
    </row>
    <row r="150" spans="1:6" ht="11.25">
      <c r="A150" s="92">
        <v>2004</v>
      </c>
      <c r="B150" s="71" t="s">
        <v>12</v>
      </c>
      <c r="C150" s="71"/>
      <c r="D150" s="72" t="s">
        <v>26</v>
      </c>
      <c r="E150" s="73">
        <v>8</v>
      </c>
      <c r="F150" s="71"/>
    </row>
    <row r="151" spans="1:6" ht="11.25">
      <c r="A151" s="92">
        <v>2005</v>
      </c>
      <c r="B151" s="71" t="s">
        <v>43</v>
      </c>
      <c r="C151" s="71"/>
      <c r="D151" s="72" t="s">
        <v>26</v>
      </c>
      <c r="E151" s="73">
        <v>9</v>
      </c>
      <c r="F151" s="71"/>
    </row>
    <row r="152" spans="1:6" ht="11.25">
      <c r="A152" s="92">
        <v>2006</v>
      </c>
      <c r="B152" s="71" t="s">
        <v>19</v>
      </c>
      <c r="C152" s="71"/>
      <c r="D152" s="72" t="s">
        <v>26</v>
      </c>
      <c r="E152" s="73">
        <v>5</v>
      </c>
      <c r="F152" s="71"/>
    </row>
    <row r="153" spans="1:6" ht="11.25">
      <c r="A153" s="92">
        <v>2007</v>
      </c>
      <c r="B153" s="71" t="s">
        <v>5</v>
      </c>
      <c r="C153" s="71"/>
      <c r="D153" s="72" t="s">
        <v>31</v>
      </c>
      <c r="E153" s="73">
        <v>29</v>
      </c>
      <c r="F153" s="71"/>
    </row>
    <row r="154" spans="1:6" ht="11.25">
      <c r="A154" s="92">
        <v>2008</v>
      </c>
      <c r="B154" s="71" t="s">
        <v>5</v>
      </c>
      <c r="C154" s="71"/>
      <c r="D154" s="72" t="s">
        <v>31</v>
      </c>
      <c r="E154" s="73">
        <v>56</v>
      </c>
      <c r="F154" s="71"/>
    </row>
    <row r="155" spans="1:6" ht="11.25">
      <c r="A155" s="92">
        <v>2009</v>
      </c>
      <c r="B155" s="71" t="s">
        <v>39</v>
      </c>
      <c r="C155" s="71" t="s">
        <v>122</v>
      </c>
      <c r="D155" s="72" t="s">
        <v>36</v>
      </c>
      <c r="E155" s="73">
        <v>50</v>
      </c>
      <c r="F155" s="71"/>
    </row>
    <row r="156" spans="1:6" ht="12.75" customHeight="1">
      <c r="A156" s="92">
        <v>2010</v>
      </c>
      <c r="B156" s="71" t="s">
        <v>56</v>
      </c>
      <c r="C156" s="71"/>
      <c r="D156" s="72" t="s">
        <v>38</v>
      </c>
      <c r="E156" s="73">
        <v>800</v>
      </c>
      <c r="F156" s="71"/>
    </row>
    <row r="157" spans="1:6" ht="12.75" customHeight="1">
      <c r="A157" s="78"/>
      <c r="B157" s="67"/>
      <c r="C157" s="67"/>
      <c r="D157" s="67"/>
      <c r="E157" s="67"/>
      <c r="F157" s="67"/>
    </row>
    <row r="158" spans="1:6" ht="12.75" customHeight="1">
      <c r="A158" s="85"/>
      <c r="B158" s="85" t="s">
        <v>112</v>
      </c>
      <c r="C158" s="85" t="s">
        <v>114</v>
      </c>
      <c r="D158" s="86" t="s">
        <v>113</v>
      </c>
      <c r="E158" s="87">
        <v>0.05</v>
      </c>
      <c r="F158" s="85"/>
    </row>
    <row r="159" spans="1:6" ht="12.75" customHeight="1">
      <c r="A159" s="85"/>
      <c r="B159" s="85" t="s">
        <v>115</v>
      </c>
      <c r="C159" s="85" t="s">
        <v>114</v>
      </c>
      <c r="D159" s="86" t="s">
        <v>113</v>
      </c>
      <c r="E159" s="87">
        <v>0.05</v>
      </c>
      <c r="F159" s="85"/>
    </row>
    <row r="160" spans="1:6" ht="12.75" customHeight="1">
      <c r="A160" s="85"/>
      <c r="B160" s="85" t="s">
        <v>116</v>
      </c>
      <c r="C160" s="85" t="s">
        <v>114</v>
      </c>
      <c r="D160" s="86" t="s">
        <v>113</v>
      </c>
      <c r="E160" s="87">
        <v>0.05</v>
      </c>
      <c r="F160" s="85"/>
    </row>
    <row r="161" spans="1:6" ht="12.75" customHeight="1">
      <c r="A161" s="85"/>
      <c r="B161" s="88" t="s">
        <v>68</v>
      </c>
      <c r="C161" s="85"/>
      <c r="D161" s="85"/>
      <c r="E161" s="89">
        <f>SUM(E158:E160)</f>
        <v>0.15000000000000002</v>
      </c>
      <c r="F161" s="85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6.421875" style="218" customWidth="1"/>
    <col min="2" max="2" width="25.00390625" style="218" customWidth="1"/>
    <col min="3" max="3" width="20.8515625" style="218" customWidth="1"/>
    <col min="4" max="4" width="12.8515625" style="219" customWidth="1"/>
    <col min="5" max="9" width="14.8515625" style="219" customWidth="1"/>
    <col min="10" max="16" width="16.140625" style="219" customWidth="1"/>
    <col min="17" max="17" width="19.421875" style="219" customWidth="1"/>
    <col min="18" max="18" width="19.00390625" style="218" customWidth="1"/>
    <col min="19" max="20" width="9.140625" style="218" customWidth="1"/>
    <col min="21" max="21" width="6.421875" style="220" bestFit="1" customWidth="1"/>
    <col min="22" max="22" width="13.00390625" style="220" bestFit="1" customWidth="1"/>
    <col min="23" max="23" width="19.28125" style="218" customWidth="1"/>
    <col min="24" max="24" width="11.421875" style="218" customWidth="1"/>
    <col min="25" max="26" width="12.421875" style="218" customWidth="1"/>
    <col min="27" max="27" width="12.00390625" style="218" customWidth="1"/>
    <col min="28" max="28" width="13.28125" style="218" customWidth="1"/>
    <col min="29" max="29" width="15.57421875" style="218" customWidth="1"/>
    <col min="30" max="30" width="11.57421875" style="218" customWidth="1"/>
    <col min="31" max="31" width="14.00390625" style="218" customWidth="1"/>
    <col min="32" max="16384" width="9.140625" style="218" customWidth="1"/>
  </cols>
  <sheetData>
    <row r="1" spans="4:22" s="218" customFormat="1" ht="10.5"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U1" s="220"/>
      <c r="V1" s="220"/>
    </row>
    <row r="2" spans="4:22" s="218" customFormat="1" ht="10.5"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U2" s="220"/>
      <c r="V2" s="220"/>
    </row>
    <row r="4" spans="1:22" s="218" customFormat="1" ht="12.75" customHeight="1">
      <c r="A4" s="221" t="s">
        <v>66</v>
      </c>
      <c r="B4" s="221" t="s">
        <v>67</v>
      </c>
      <c r="C4" s="221" t="s">
        <v>415</v>
      </c>
      <c r="D4" s="222" t="s">
        <v>315</v>
      </c>
      <c r="E4" s="222"/>
      <c r="F4" s="222"/>
      <c r="G4" s="222"/>
      <c r="H4" s="222"/>
      <c r="I4" s="222"/>
      <c r="J4" s="222"/>
      <c r="K4" s="222" t="s">
        <v>316</v>
      </c>
      <c r="L4" s="222"/>
      <c r="M4" s="222"/>
      <c r="N4" s="222"/>
      <c r="O4" s="222"/>
      <c r="P4" s="222"/>
      <c r="Q4" s="222"/>
      <c r="U4" s="220"/>
      <c r="V4" s="220"/>
    </row>
    <row r="5" spans="1:22" s="218" customFormat="1" ht="51" customHeight="1">
      <c r="A5" s="223"/>
      <c r="B5" s="223"/>
      <c r="C5" s="223"/>
      <c r="D5" s="224">
        <v>2018</v>
      </c>
      <c r="E5" s="224">
        <v>2019</v>
      </c>
      <c r="F5" s="224">
        <v>2020</v>
      </c>
      <c r="G5" s="224">
        <v>2021</v>
      </c>
      <c r="H5" s="224">
        <v>2022</v>
      </c>
      <c r="I5" s="224">
        <v>2023</v>
      </c>
      <c r="J5" s="224" t="s">
        <v>68</v>
      </c>
      <c r="K5" s="225">
        <v>2024</v>
      </c>
      <c r="L5" s="225">
        <v>2025</v>
      </c>
      <c r="M5" s="225">
        <v>2026</v>
      </c>
      <c r="N5" s="225">
        <v>2027</v>
      </c>
      <c r="O5" s="225">
        <v>2028</v>
      </c>
      <c r="P5" s="225">
        <v>2029</v>
      </c>
      <c r="Q5" s="225" t="s">
        <v>314</v>
      </c>
      <c r="U5" s="220"/>
      <c r="V5" s="220"/>
    </row>
    <row r="6" spans="1:22" s="218" customFormat="1" ht="10.5">
      <c r="A6" s="226">
        <v>1</v>
      </c>
      <c r="B6" s="227" t="str">
        <f>'1. Võnnu'!B1</f>
        <v>VÕNNU ALEVIK</v>
      </c>
      <c r="C6" s="228">
        <f>J6+Q6</f>
        <v>1210786.45</v>
      </c>
      <c r="D6" s="228">
        <f>J6*4%</f>
        <v>44072.958</v>
      </c>
      <c r="E6" s="228">
        <f>J6-D6</f>
        <v>1057750.9919999999</v>
      </c>
      <c r="F6" s="228">
        <v>0</v>
      </c>
      <c r="G6" s="228">
        <v>0</v>
      </c>
      <c r="H6" s="228">
        <v>0</v>
      </c>
      <c r="I6" s="228">
        <v>0</v>
      </c>
      <c r="J6" s="228">
        <f>'1. Võnnu'!H34+'1. Võnnu'!H76+'1. Võnnu'!H99</f>
        <v>1101823.95</v>
      </c>
      <c r="K6" s="228">
        <f>Q6</f>
        <v>108962.5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f>'1. Võnnu'!H35+'1. Võnnu'!H77+'1. Võnnu'!H100</f>
        <v>108962.5</v>
      </c>
      <c r="U6" s="220"/>
      <c r="V6" s="220"/>
    </row>
    <row r="7" spans="1:22" s="218" customFormat="1" ht="10.5">
      <c r="A7" s="226">
        <v>2</v>
      </c>
      <c r="B7" s="227" t="str">
        <f>'2. Kaagvere'!B1</f>
        <v>KAAGVERE KÜLA</v>
      </c>
      <c r="C7" s="228">
        <f aca="true" t="shared" si="0" ref="C7:C17">J7+Q7</f>
        <v>146481.25</v>
      </c>
      <c r="D7" s="228">
        <v>0</v>
      </c>
      <c r="E7" s="228">
        <v>0</v>
      </c>
      <c r="F7" s="228">
        <f>J7</f>
        <v>146481.25</v>
      </c>
      <c r="G7" s="228">
        <v>0</v>
      </c>
      <c r="H7" s="228">
        <v>0</v>
      </c>
      <c r="I7" s="228">
        <v>0</v>
      </c>
      <c r="J7" s="228">
        <f>'2. Kaagvere'!H31+'2. Kaagvere'!H58</f>
        <v>146481.25</v>
      </c>
      <c r="K7" s="228">
        <v>0</v>
      </c>
      <c r="L7" s="228">
        <v>0</v>
      </c>
      <c r="M7" s="228">
        <v>0</v>
      </c>
      <c r="N7" s="228">
        <v>0</v>
      </c>
      <c r="O7" s="228">
        <v>0</v>
      </c>
      <c r="P7" s="228">
        <v>0</v>
      </c>
      <c r="Q7" s="228">
        <f>'2. Kaagvere'!H32+'2. Kaagvere'!H59</f>
        <v>0</v>
      </c>
      <c r="U7" s="220"/>
      <c r="V7" s="220"/>
    </row>
    <row r="8" spans="1:22" s="218" customFormat="1" ht="10.5">
      <c r="A8" s="226">
        <v>3</v>
      </c>
      <c r="B8" s="227" t="str">
        <f>'3. Melliste'!B1</f>
        <v>MELLISTE KÜLA</v>
      </c>
      <c r="C8" s="228">
        <f t="shared" si="0"/>
        <v>641389.4999999999</v>
      </c>
      <c r="D8" s="228">
        <v>0</v>
      </c>
      <c r="E8" s="228">
        <v>0</v>
      </c>
      <c r="F8" s="228">
        <v>0</v>
      </c>
      <c r="G8" s="228">
        <f>J8*50%</f>
        <v>320694.74999999994</v>
      </c>
      <c r="H8" s="228">
        <f>J8*50%</f>
        <v>320694.74999999994</v>
      </c>
      <c r="I8" s="228">
        <v>0</v>
      </c>
      <c r="J8" s="228">
        <f>'3. Melliste'!H28+'3. Melliste'!H58</f>
        <v>641389.4999999999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228">
        <v>0</v>
      </c>
      <c r="Q8" s="228">
        <f>'3. Melliste'!H29+'3. Melliste'!H59</f>
        <v>0</v>
      </c>
      <c r="U8" s="220"/>
      <c r="V8" s="220"/>
    </row>
    <row r="9" spans="1:22" s="218" customFormat="1" ht="10.5">
      <c r="A9" s="226">
        <v>4</v>
      </c>
      <c r="B9" s="227" t="str">
        <f>'4. Võõpste'!B1</f>
        <v>VÕÕPSTE KÜLA</v>
      </c>
      <c r="C9" s="228">
        <f t="shared" si="0"/>
        <v>255374.74999999997</v>
      </c>
      <c r="D9" s="228">
        <f>J9*50%</f>
        <v>127687.37499999999</v>
      </c>
      <c r="E9" s="228">
        <f>J9*50%</f>
        <v>127687.37499999999</v>
      </c>
      <c r="F9" s="228">
        <v>0</v>
      </c>
      <c r="G9" s="228">
        <v>0</v>
      </c>
      <c r="H9" s="228">
        <v>0</v>
      </c>
      <c r="I9" s="228">
        <v>0</v>
      </c>
      <c r="J9" s="228">
        <f>'4. Võõpste'!H30+'4. Võõpste'!H67</f>
        <v>255374.74999999997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f>'4. Võõpste'!H68</f>
        <v>0</v>
      </c>
      <c r="U9" s="220"/>
      <c r="V9" s="220"/>
    </row>
    <row r="10" spans="1:22" s="218" customFormat="1" ht="10.5">
      <c r="A10" s="229">
        <v>5</v>
      </c>
      <c r="B10" s="227" t="str">
        <f>'5. Poka'!B1</f>
        <v>POKA KÜLA</v>
      </c>
      <c r="C10" s="228">
        <f t="shared" si="0"/>
        <v>195114.75</v>
      </c>
      <c r="D10" s="228">
        <v>0</v>
      </c>
      <c r="E10" s="228">
        <v>0</v>
      </c>
      <c r="F10" s="228">
        <v>0</v>
      </c>
      <c r="G10" s="228">
        <f>J10</f>
        <v>195114.75</v>
      </c>
      <c r="H10" s="228">
        <v>0</v>
      </c>
      <c r="I10" s="228">
        <v>0</v>
      </c>
      <c r="J10" s="228">
        <f>'5. Poka'!H30+'5. Poka'!H55</f>
        <v>195114.75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f>'5. Poka'!H31+'5. Poka'!H56</f>
        <v>0</v>
      </c>
      <c r="U10" s="220"/>
      <c r="V10" s="220"/>
    </row>
    <row r="11" spans="1:22" s="218" customFormat="1" ht="10.5">
      <c r="A11" s="229">
        <v>6</v>
      </c>
      <c r="B11" s="227" t="str">
        <f>'6. Mäksa'!B1</f>
        <v>MÄKSA KÜLA</v>
      </c>
      <c r="C11" s="228">
        <f t="shared" si="0"/>
        <v>82535.5</v>
      </c>
      <c r="D11" s="228">
        <v>0</v>
      </c>
      <c r="E11" s="228">
        <v>0</v>
      </c>
      <c r="F11" s="228">
        <f>J11</f>
        <v>82535.5</v>
      </c>
      <c r="G11" s="228">
        <v>0</v>
      </c>
      <c r="H11" s="228">
        <v>0</v>
      </c>
      <c r="I11" s="228">
        <v>0</v>
      </c>
      <c r="J11" s="228">
        <f>'6. Mäksa'!H30+'6. Mäksa'!H53+'6. Mäksa'!H66</f>
        <v>82535.5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f>'6. Mäksa'!H31+'6. Mäksa'!H54+'6. Mäksa'!H67</f>
        <v>0</v>
      </c>
      <c r="U11" s="220"/>
      <c r="V11" s="220"/>
    </row>
    <row r="12" spans="1:22" s="218" customFormat="1" ht="10.5">
      <c r="A12" s="229">
        <v>7</v>
      </c>
      <c r="B12" s="230" t="str">
        <f>'7. Roiu'!B1</f>
        <v>ROIU ALEVIK</v>
      </c>
      <c r="C12" s="228">
        <f t="shared" si="0"/>
        <v>0</v>
      </c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f>'7. Roiu'!H74</f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f>'7. Roiu'!H75</f>
        <v>0</v>
      </c>
      <c r="U12" s="220"/>
      <c r="V12" s="220"/>
    </row>
    <row r="13" spans="1:22" s="218" customFormat="1" ht="10.5">
      <c r="A13" s="229">
        <v>8</v>
      </c>
      <c r="B13" s="230" t="str">
        <f>'8. Päkste'!B1</f>
        <v>PÄKSTE KÜLA</v>
      </c>
      <c r="C13" s="228">
        <f t="shared" si="0"/>
        <v>540971.5</v>
      </c>
      <c r="D13" s="228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f>'8. Päkste'!H29+'8. Päkste'!H55+'8. Päkste'!H68</f>
        <v>0</v>
      </c>
      <c r="K13" s="228">
        <f>Q13*50%</f>
        <v>270485.75</v>
      </c>
      <c r="L13" s="228">
        <f>Q13*50%</f>
        <v>270485.75</v>
      </c>
      <c r="M13" s="228">
        <v>0</v>
      </c>
      <c r="N13" s="228">
        <v>0</v>
      </c>
      <c r="O13" s="228">
        <v>0</v>
      </c>
      <c r="P13" s="228">
        <v>0</v>
      </c>
      <c r="Q13" s="228">
        <f>'8. Päkste'!H30+'8. Päkste'!H56+'8. Päkste'!H69</f>
        <v>540971.5</v>
      </c>
      <c r="U13" s="220"/>
      <c r="V13" s="220"/>
    </row>
    <row r="14" spans="1:22" s="218" customFormat="1" ht="10.5">
      <c r="A14" s="229">
        <v>9</v>
      </c>
      <c r="B14" s="230" t="str">
        <f>'9. Ignase'!B1</f>
        <v>IGNASE KÜLA</v>
      </c>
      <c r="C14" s="228">
        <f t="shared" si="0"/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f>'9. Ignase'!H72</f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28">
        <f>'9. Ignase'!H73</f>
        <v>0</v>
      </c>
      <c r="U14" s="220"/>
      <c r="V14" s="220"/>
    </row>
    <row r="15" spans="1:22" s="218" customFormat="1" ht="10.5">
      <c r="A15" s="229">
        <v>10</v>
      </c>
      <c r="B15" s="230" t="str">
        <f>'10. Aardla küla'!B1</f>
        <v>AARDLA KÜLA</v>
      </c>
      <c r="C15" s="228">
        <f t="shared" si="0"/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28">
        <f>'10. Aardla küla'!H75</f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28">
        <f>'10. Aardla küla'!H76</f>
        <v>0</v>
      </c>
      <c r="U15" s="220"/>
      <c r="V15" s="220"/>
    </row>
    <row r="16" spans="1:22" s="218" customFormat="1" ht="10.5">
      <c r="A16" s="229">
        <v>11</v>
      </c>
      <c r="B16" s="230" t="str">
        <f>'11. Kurepalu küla'!B1</f>
        <v>KUREPALU KÜLA</v>
      </c>
      <c r="C16" s="228">
        <f t="shared" si="0"/>
        <v>1854987.25</v>
      </c>
      <c r="D16" s="228">
        <f>J16*4%</f>
        <v>74199.49</v>
      </c>
      <c r="E16" s="228">
        <f>J16-D16</f>
        <v>1780787.76</v>
      </c>
      <c r="F16" s="228">
        <v>0</v>
      </c>
      <c r="G16" s="228">
        <v>0</v>
      </c>
      <c r="H16" s="228">
        <v>0</v>
      </c>
      <c r="I16" s="228">
        <v>0</v>
      </c>
      <c r="J16" s="228">
        <f>'11. Kurepalu küla'!H75</f>
        <v>1854987.25</v>
      </c>
      <c r="K16" s="228">
        <v>0</v>
      </c>
      <c r="L16" s="228">
        <v>0</v>
      </c>
      <c r="M16" s="228">
        <v>0</v>
      </c>
      <c r="N16" s="228">
        <v>0</v>
      </c>
      <c r="O16" s="228">
        <v>0</v>
      </c>
      <c r="P16" s="228">
        <v>0</v>
      </c>
      <c r="Q16" s="228">
        <f>'11. Kurepalu küla'!H76</f>
        <v>0</v>
      </c>
      <c r="U16" s="220"/>
      <c r="V16" s="220"/>
    </row>
    <row r="17" spans="1:22" s="218" customFormat="1" ht="31.5">
      <c r="A17" s="229">
        <v>12</v>
      </c>
      <c r="B17" s="227" t="str">
        <f>'12. Haaslava ja Aardlapalu'!B1</f>
        <v>HAASLAVA JA AARDLAPALU KÜLADE ARENDUSPIIRKONNAD </v>
      </c>
      <c r="C17" s="228">
        <f t="shared" si="0"/>
        <v>2448994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f>'12. Haaslava ja Aardlapalu'!H63</f>
        <v>0</v>
      </c>
      <c r="K17" s="228">
        <v>0</v>
      </c>
      <c r="L17" s="228">
        <f>$Q$17*20%</f>
        <v>489798.80000000005</v>
      </c>
      <c r="M17" s="228">
        <f>$Q$17*20%</f>
        <v>489798.80000000005</v>
      </c>
      <c r="N17" s="228">
        <f>$Q$17*20%</f>
        <v>489798.80000000005</v>
      </c>
      <c r="O17" s="228">
        <f>$Q$17*20%</f>
        <v>489798.80000000005</v>
      </c>
      <c r="P17" s="228">
        <f>$Q$17*20%</f>
        <v>489798.80000000005</v>
      </c>
      <c r="Q17" s="228">
        <f>'12. Haaslava ja Aardlapalu'!H64</f>
        <v>2448994</v>
      </c>
      <c r="U17" s="220"/>
      <c r="V17" s="220"/>
    </row>
    <row r="18" spans="1:22" s="218" customFormat="1" ht="10.5">
      <c r="A18" s="232"/>
      <c r="B18" s="233" t="s">
        <v>68</v>
      </c>
      <c r="C18" s="234">
        <f aca="true" t="shared" si="1" ref="C18:P18">SUM(C6:C17)</f>
        <v>7376634.949999999</v>
      </c>
      <c r="D18" s="234">
        <f t="shared" si="1"/>
        <v>245959.82299999997</v>
      </c>
      <c r="E18" s="234">
        <f>SUM(E6:E17)</f>
        <v>2966226.127</v>
      </c>
      <c r="F18" s="234">
        <f t="shared" si="1"/>
        <v>229016.75</v>
      </c>
      <c r="G18" s="234">
        <f t="shared" si="1"/>
        <v>515809.49999999994</v>
      </c>
      <c r="H18" s="234">
        <f t="shared" si="1"/>
        <v>320694.74999999994</v>
      </c>
      <c r="I18" s="234">
        <f t="shared" si="1"/>
        <v>0</v>
      </c>
      <c r="J18" s="234">
        <f t="shared" si="1"/>
        <v>4277706.949999999</v>
      </c>
      <c r="K18" s="234">
        <f t="shared" si="1"/>
        <v>379448.25</v>
      </c>
      <c r="L18" s="234">
        <f t="shared" si="1"/>
        <v>760284.55</v>
      </c>
      <c r="M18" s="234">
        <f t="shared" si="1"/>
        <v>489798.80000000005</v>
      </c>
      <c r="N18" s="234">
        <f t="shared" si="1"/>
        <v>489798.80000000005</v>
      </c>
      <c r="O18" s="234">
        <f t="shared" si="1"/>
        <v>489798.80000000005</v>
      </c>
      <c r="P18" s="234">
        <f t="shared" si="1"/>
        <v>489798.80000000005</v>
      </c>
      <c r="Q18" s="234">
        <f>SUM(Q6:Q17)</f>
        <v>3098928</v>
      </c>
      <c r="U18" s="220"/>
      <c r="V18" s="220"/>
    </row>
    <row r="20" spans="4:22" s="218" customFormat="1" ht="17.25" customHeight="1">
      <c r="D20" s="219"/>
      <c r="E20" s="219"/>
      <c r="F20" s="235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U20" s="220"/>
      <c r="V20" s="220"/>
    </row>
  </sheetData>
  <sheetProtection/>
  <mergeCells count="5">
    <mergeCell ref="D4:J4"/>
    <mergeCell ref="C4:C5"/>
    <mergeCell ref="B4:B5"/>
    <mergeCell ref="K4:Q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8"/>
  <sheetViews>
    <sheetView zoomScale="85" zoomScaleNormal="85" zoomScalePageLayoutView="0" workbookViewId="0" topLeftCell="A70">
      <selection activeCell="A314" sqref="A314:IV314"/>
    </sheetView>
  </sheetViews>
  <sheetFormatPr defaultColWidth="9.140625" defaultRowHeight="11.25" customHeight="1"/>
  <cols>
    <col min="1" max="1" width="9.140625" style="42" customWidth="1"/>
    <col min="2" max="2" width="11.421875" style="43" customWidth="1"/>
    <col min="3" max="3" width="47.28125" style="45" customWidth="1"/>
    <col min="4" max="4" width="31.140625" style="45" customWidth="1"/>
    <col min="5" max="5" width="6.8515625" style="45" customWidth="1"/>
    <col min="6" max="6" width="7.57421875" style="45" customWidth="1"/>
    <col min="7" max="7" width="9.8515625" style="45" customWidth="1"/>
    <col min="8" max="8" width="11.8515625" style="45" customWidth="1"/>
    <col min="9" max="9" width="14.57421875" style="59" bestFit="1" customWidth="1"/>
    <col min="10" max="10" width="9.140625" style="45" customWidth="1"/>
    <col min="11" max="11" width="9.28125" style="45" bestFit="1" customWidth="1"/>
    <col min="12" max="14" width="9.140625" style="45" customWidth="1"/>
    <col min="15" max="15" width="10.8515625" style="45" bestFit="1" customWidth="1"/>
    <col min="16" max="16384" width="9.140625" style="45" customWidth="1"/>
  </cols>
  <sheetData>
    <row r="1" spans="3:10" ht="11.25">
      <c r="C1" s="4" t="s">
        <v>269</v>
      </c>
      <c r="D1" s="44"/>
      <c r="E1" s="44"/>
      <c r="F1" s="44"/>
      <c r="G1" s="44"/>
      <c r="H1" s="44"/>
      <c r="I1" s="57"/>
      <c r="J1" s="44"/>
    </row>
    <row r="2" spans="3:10" ht="11.25">
      <c r="C2" s="4" t="s">
        <v>53</v>
      </c>
      <c r="D2" s="44"/>
      <c r="E2" s="44"/>
      <c r="F2" s="44"/>
      <c r="G2" s="44"/>
      <c r="H2" s="44"/>
      <c r="I2" s="57"/>
      <c r="J2" s="44"/>
    </row>
    <row r="3" spans="1:10" ht="11.25">
      <c r="A3" s="46"/>
      <c r="B3" s="47"/>
      <c r="C3" s="48"/>
      <c r="D3" s="48"/>
      <c r="E3" s="48"/>
      <c r="F3" s="48"/>
      <c r="G3" s="48"/>
      <c r="H3" s="48"/>
      <c r="I3" s="58"/>
      <c r="J3" s="49"/>
    </row>
    <row r="4" spans="1:10" ht="33.75">
      <c r="A4" s="7" t="s">
        <v>37</v>
      </c>
      <c r="B4" s="8" t="s">
        <v>117</v>
      </c>
      <c r="C4" s="9" t="s">
        <v>0</v>
      </c>
      <c r="D4" s="10" t="s">
        <v>64</v>
      </c>
      <c r="E4" s="11" t="s">
        <v>23</v>
      </c>
      <c r="F4" s="11" t="s">
        <v>50</v>
      </c>
      <c r="G4" s="11" t="s">
        <v>4</v>
      </c>
      <c r="H4" s="11" t="s">
        <v>46</v>
      </c>
      <c r="I4" s="34" t="s">
        <v>35</v>
      </c>
      <c r="J4" s="49"/>
    </row>
    <row r="5" spans="1:14" ht="11.25">
      <c r="A5" s="7"/>
      <c r="B5" s="8"/>
      <c r="C5" s="12" t="s">
        <v>41</v>
      </c>
      <c r="J5" s="49"/>
      <c r="K5" s="51"/>
      <c r="L5" s="51"/>
      <c r="M5" s="51"/>
      <c r="N5" s="51"/>
    </row>
    <row r="6" spans="1:14" ht="11.25">
      <c r="A6" s="7"/>
      <c r="B6" s="8"/>
      <c r="C6" s="50" t="s">
        <v>72</v>
      </c>
      <c r="J6" s="49"/>
      <c r="K6" s="51"/>
      <c r="L6" s="51"/>
      <c r="M6" s="51"/>
      <c r="N6" s="51"/>
    </row>
    <row r="7" spans="1:14" ht="11.25">
      <c r="A7" s="7"/>
      <c r="B7" s="8"/>
      <c r="C7" s="13" t="s">
        <v>87</v>
      </c>
      <c r="J7" s="49"/>
      <c r="K7" s="51"/>
      <c r="L7" s="51"/>
      <c r="M7" s="51"/>
      <c r="N7" s="51"/>
    </row>
    <row r="8" spans="1:14" ht="11.25">
      <c r="A8" s="7"/>
      <c r="B8" s="8"/>
      <c r="C8" s="94" t="s">
        <v>89</v>
      </c>
      <c r="I8" s="62">
        <f>SUM(I9:I41)</f>
        <v>0</v>
      </c>
      <c r="J8" s="49"/>
      <c r="L8" s="51"/>
      <c r="M8" s="51"/>
      <c r="N8" s="51"/>
    </row>
    <row r="9" spans="1:14" s="44" customFormat="1" ht="11.25">
      <c r="A9" s="52">
        <v>101</v>
      </c>
      <c r="B9" s="55" t="s">
        <v>130</v>
      </c>
      <c r="C9" s="17" t="str">
        <f>VLOOKUP(A9,Uhikhinnad!$A$6:$F$156,2,FALSE)</f>
        <v>puurkaevu puurimine</v>
      </c>
      <c r="D9" s="17">
        <f>VLOOKUP(A9,Uhikhinnad!$A$6:$F$156,3,FALSE)</f>
        <v>0</v>
      </c>
      <c r="E9" s="18" t="str">
        <f>VLOOKUP(A9,Uhikhinnad!$A$6:$F$156,4,FALSE)</f>
        <v>m</v>
      </c>
      <c r="F9" s="19">
        <v>0</v>
      </c>
      <c r="G9" s="18">
        <f>VLOOKUP(A9,Uhikhinnad!$A$6:$F$156,5,FALSE)</f>
        <v>220</v>
      </c>
      <c r="H9" s="18">
        <f>VLOOKUP(A9,Uhikhinnad!$A$6:$F$156,6,FALSE)</f>
        <v>0</v>
      </c>
      <c r="I9" s="35">
        <f aca="true" t="shared" si="0" ref="I9:I41">F9*G9+H9</f>
        <v>0</v>
      </c>
      <c r="J9" s="49"/>
      <c r="L9" s="93"/>
      <c r="M9" s="93"/>
      <c r="N9" s="93"/>
    </row>
    <row r="10" spans="1:14" s="44" customFormat="1" ht="11.25">
      <c r="A10" s="52">
        <v>102</v>
      </c>
      <c r="B10" s="55" t="s">
        <v>130</v>
      </c>
      <c r="C10" s="17" t="str">
        <f>VLOOKUP(A10,Uhikhinnad!$A$6:$F$156,2,FALSE)</f>
        <v>puuraugu tamponeerimine</v>
      </c>
      <c r="D10" s="17">
        <f>VLOOKUP(A10,Uhikhinnad!$A$6:$F$156,3,FALSE)</f>
        <v>0</v>
      </c>
      <c r="E10" s="18" t="str">
        <f>VLOOKUP(A10,Uhikhinnad!$A$6:$F$156,4,FALSE)</f>
        <v>kmpl</v>
      </c>
      <c r="F10" s="19">
        <v>0</v>
      </c>
      <c r="G10" s="18">
        <f>VLOOKUP(A10,Uhikhinnad!$A$6:$F$156,5,FALSE)</f>
        <v>3800</v>
      </c>
      <c r="H10" s="18">
        <f>VLOOKUP(A10,Uhikhinnad!$A$6:$F$156,6,FALSE)</f>
        <v>0</v>
      </c>
      <c r="I10" s="35">
        <f t="shared" si="0"/>
        <v>0</v>
      </c>
      <c r="J10" s="49"/>
      <c r="L10" s="93"/>
      <c r="M10" s="93"/>
      <c r="N10" s="93"/>
    </row>
    <row r="11" spans="1:14" s="44" customFormat="1" ht="11.25">
      <c r="A11" s="52">
        <v>104</v>
      </c>
      <c r="B11" s="55" t="s">
        <v>130</v>
      </c>
      <c r="C11" s="17" t="str">
        <f>VLOOKUP(A11,Uhikhinnad!$A$6:$F$156,2,FALSE)</f>
        <v>üheastmelise pumpla tehnoloogia</v>
      </c>
      <c r="D11" s="17">
        <f>VLOOKUP(A11,Uhikhinnad!$A$6:$F$156,3,FALSE)</f>
        <v>0</v>
      </c>
      <c r="E11" s="18" t="str">
        <f>VLOOKUP(A11,Uhikhinnad!$A$6:$F$156,4,FALSE)</f>
        <v>kmpl</v>
      </c>
      <c r="F11" s="19">
        <v>0</v>
      </c>
      <c r="G11" s="18">
        <f>VLOOKUP(A11,Uhikhinnad!$A$6:$F$156,5,FALSE)</f>
        <v>31800</v>
      </c>
      <c r="H11" s="18">
        <f>VLOOKUP(A11,Uhikhinnad!$A$6:$F$156,6,FALSE)</f>
        <v>0</v>
      </c>
      <c r="I11" s="35">
        <f t="shared" si="0"/>
        <v>0</v>
      </c>
      <c r="J11" s="49"/>
      <c r="L11" s="93"/>
      <c r="M11" s="93"/>
      <c r="N11" s="93"/>
    </row>
    <row r="12" spans="1:14" s="44" customFormat="1" ht="11.25">
      <c r="A12" s="52">
        <v>105</v>
      </c>
      <c r="B12" s="55" t="s">
        <v>130</v>
      </c>
      <c r="C12" s="17" t="str">
        <f>VLOOKUP(A12,Uhikhinnad!$A$6:$F$156,2,FALSE)</f>
        <v>veetöötlus</v>
      </c>
      <c r="D12" s="17">
        <f>VLOOKUP(A12,Uhikhinnad!$A$6:$F$156,3,FALSE)</f>
        <v>0</v>
      </c>
      <c r="E12" s="18">
        <f>VLOOKUP(A12,Uhikhinnad!$A$6:$F$156,4,FALSE)</f>
        <v>0</v>
      </c>
      <c r="F12" s="19">
        <v>0</v>
      </c>
      <c r="G12" s="18">
        <f>VLOOKUP(A12,Uhikhinnad!$A$6:$F$156,5,FALSE)</f>
        <v>0</v>
      </c>
      <c r="H12" s="18">
        <f>VLOOKUP(A12,Uhikhinnad!$A$6:$F$156,6,FALSE)</f>
        <v>0</v>
      </c>
      <c r="I12" s="35">
        <f t="shared" si="0"/>
        <v>0</v>
      </c>
      <c r="J12" s="49"/>
      <c r="L12" s="93"/>
      <c r="M12" s="93"/>
      <c r="N12" s="93"/>
    </row>
    <row r="13" spans="1:14" s="44" customFormat="1" ht="11.25">
      <c r="A13" s="52" t="s">
        <v>138</v>
      </c>
      <c r="B13" s="55" t="s">
        <v>130</v>
      </c>
      <c r="C13" s="17" t="str">
        <f>VLOOKUP(A13,Uhikhinnad!$A$6:$F$156,2,FALSE)</f>
        <v>veetöötlus</v>
      </c>
      <c r="D13" s="17" t="str">
        <f>VLOOKUP(A13,Uhikhinnad!$A$6:$F$156,3,FALSE)</f>
        <v>(raud)</v>
      </c>
      <c r="E13" s="18" t="str">
        <f>VLOOKUP(A13,Uhikhinnad!$A$6:$F$156,4,FALSE)</f>
        <v>m3/h</v>
      </c>
      <c r="F13" s="19">
        <v>0</v>
      </c>
      <c r="G13" s="18">
        <f>VLOOKUP(A13,Uhikhinnad!$A$6:$F$156,5,FALSE)</f>
        <v>1200</v>
      </c>
      <c r="H13" s="18">
        <f>VLOOKUP(A13,Uhikhinnad!$A$6:$F$156,6,FALSE)</f>
        <v>0</v>
      </c>
      <c r="I13" s="35">
        <f t="shared" si="0"/>
        <v>0</v>
      </c>
      <c r="J13" s="49"/>
      <c r="L13" s="93"/>
      <c r="M13" s="93"/>
      <c r="N13" s="93"/>
    </row>
    <row r="14" spans="1:14" s="44" customFormat="1" ht="11.25">
      <c r="A14" s="52" t="s">
        <v>139</v>
      </c>
      <c r="B14" s="55" t="s">
        <v>130</v>
      </c>
      <c r="C14" s="17" t="str">
        <f>VLOOKUP(A14,Uhikhinnad!$A$6:$F$156,2,FALSE)</f>
        <v>veetöötlus</v>
      </c>
      <c r="D14" s="17" t="str">
        <f>VLOOKUP(A14,Uhikhinnad!$A$6:$F$156,3,FALSE)</f>
        <v>(raud+mangaan)</v>
      </c>
      <c r="E14" s="18" t="str">
        <f>VLOOKUP(A14,Uhikhinnad!$A$6:$F$156,4,FALSE)</f>
        <v>m3/h</v>
      </c>
      <c r="F14" s="19">
        <v>0</v>
      </c>
      <c r="G14" s="18">
        <f>VLOOKUP(A14,Uhikhinnad!$A$6:$F$156,5,FALSE)</f>
        <v>1700</v>
      </c>
      <c r="H14" s="18">
        <f>VLOOKUP(A14,Uhikhinnad!$A$6:$F$156,6,FALSE)</f>
        <v>0</v>
      </c>
      <c r="I14" s="35">
        <f t="shared" si="0"/>
        <v>0</v>
      </c>
      <c r="J14" s="49"/>
      <c r="L14" s="93"/>
      <c r="M14" s="93"/>
      <c r="N14" s="93"/>
    </row>
    <row r="15" spans="1:14" s="44" customFormat="1" ht="11.25">
      <c r="A15" s="52" t="s">
        <v>140</v>
      </c>
      <c r="B15" s="55" t="s">
        <v>130</v>
      </c>
      <c r="C15" s="17" t="str">
        <f>VLOOKUP(A15,Uhikhinnad!$A$6:$F$156,2,FALSE)</f>
        <v>veetöötlus </v>
      </c>
      <c r="D15" s="17" t="str">
        <f>VLOOKUP(A15,Uhikhinnad!$A$6:$F$156,3,FALSE)</f>
        <v>(raud+mangaan+ammoonium)</v>
      </c>
      <c r="E15" s="18" t="str">
        <f>VLOOKUP(A15,Uhikhinnad!$A$6:$F$156,4,FALSE)</f>
        <v>m3/h</v>
      </c>
      <c r="F15" s="19">
        <v>0</v>
      </c>
      <c r="G15" s="18">
        <f>VLOOKUP(A15,Uhikhinnad!$A$6:$F$156,5,FALSE)</f>
        <v>1750</v>
      </c>
      <c r="H15" s="18">
        <f>VLOOKUP(A15,Uhikhinnad!$A$6:$F$156,6,FALSE)</f>
        <v>0</v>
      </c>
      <c r="I15" s="35">
        <f t="shared" si="0"/>
        <v>0</v>
      </c>
      <c r="J15" s="49"/>
      <c r="L15" s="93"/>
      <c r="M15" s="93"/>
      <c r="N15" s="93"/>
    </row>
    <row r="16" spans="1:14" s="44" customFormat="1" ht="11.25">
      <c r="A16" s="52" t="s">
        <v>141</v>
      </c>
      <c r="B16" s="55" t="s">
        <v>130</v>
      </c>
      <c r="C16" s="17" t="str">
        <f>VLOOKUP(A16,Uhikhinnad!$A$6:$F$156,2,FALSE)</f>
        <v>veetöötlus </v>
      </c>
      <c r="D16" s="17" t="str">
        <f>VLOOKUP(A16,Uhikhinnad!$A$6:$F$156,3,FALSE)</f>
        <v>(raud+mangaan+efektiivdoos)</v>
      </c>
      <c r="E16" s="18" t="str">
        <f>VLOOKUP(A16,Uhikhinnad!$A$6:$F$156,4,FALSE)</f>
        <v>m3/h</v>
      </c>
      <c r="F16" s="19">
        <v>0</v>
      </c>
      <c r="G16" s="18">
        <f>VLOOKUP(A16,Uhikhinnad!$A$6:$F$156,5,FALSE)</f>
        <v>1800</v>
      </c>
      <c r="H16" s="18">
        <f>VLOOKUP(A16,Uhikhinnad!$A$6:$F$156,6,FALSE)</f>
        <v>0</v>
      </c>
      <c r="I16" s="35">
        <f t="shared" si="0"/>
        <v>0</v>
      </c>
      <c r="J16" s="49"/>
      <c r="L16" s="93"/>
      <c r="M16" s="93"/>
      <c r="N16" s="93"/>
    </row>
    <row r="17" spans="1:14" s="44" customFormat="1" ht="11.25">
      <c r="A17" s="52">
        <v>106</v>
      </c>
      <c r="B17" s="55" t="s">
        <v>130</v>
      </c>
      <c r="C17" s="17" t="str">
        <f>VLOOKUP(A17,Uhikhinnad!$A$6:$F$156,2,FALSE)</f>
        <v>teise astme pumpla tehnoloogia </v>
      </c>
      <c r="D17" s="17">
        <f>VLOOKUP(A17,Uhikhinnad!$A$6:$F$156,3,FALSE)</f>
        <v>0</v>
      </c>
      <c r="E17" s="18">
        <f>VLOOKUP(A17,Uhikhinnad!$A$6:$F$156,4,FALSE)</f>
        <v>0</v>
      </c>
      <c r="F17" s="19">
        <v>0</v>
      </c>
      <c r="G17" s="18">
        <f>VLOOKUP(A17,Uhikhinnad!$A$6:$F$156,5,FALSE)</f>
        <v>0</v>
      </c>
      <c r="H17" s="18">
        <f>VLOOKUP(A17,Uhikhinnad!$A$6:$F$156,6,FALSE)</f>
        <v>0</v>
      </c>
      <c r="I17" s="35">
        <f t="shared" si="0"/>
        <v>0</v>
      </c>
      <c r="J17" s="49"/>
      <c r="L17" s="93"/>
      <c r="M17" s="93"/>
      <c r="N17" s="93"/>
    </row>
    <row r="18" spans="1:14" s="44" customFormat="1" ht="11.25">
      <c r="A18" s="52" t="s">
        <v>10</v>
      </c>
      <c r="B18" s="55" t="s">
        <v>130</v>
      </c>
      <c r="C18" s="17" t="str">
        <f>VLOOKUP(A18,Uhikhinnad!$A$6:$F$156,2,FALSE)</f>
        <v>teise astme pumpla tehnoloogia </v>
      </c>
      <c r="D18" s="17" t="str">
        <f>VLOOKUP(A18,Uhikhinnad!$A$6:$F$156,3,FALSE)</f>
        <v>(&lt;20 m3/h)</v>
      </c>
      <c r="E18" s="18" t="str">
        <f>VLOOKUP(A18,Uhikhinnad!$A$6:$F$156,4,FALSE)</f>
        <v>kmpl</v>
      </c>
      <c r="F18" s="19">
        <v>0</v>
      </c>
      <c r="G18" s="18">
        <f>VLOOKUP(A18,Uhikhinnad!$A$6:$F$156,5,FALSE)</f>
        <v>28000</v>
      </c>
      <c r="H18" s="18">
        <f>VLOOKUP(A18,Uhikhinnad!$A$6:$F$156,6,FALSE)</f>
        <v>0</v>
      </c>
      <c r="I18" s="35">
        <f t="shared" si="0"/>
        <v>0</v>
      </c>
      <c r="J18" s="49"/>
      <c r="L18" s="93"/>
      <c r="M18" s="93"/>
      <c r="N18" s="93"/>
    </row>
    <row r="19" spans="1:14" s="44" customFormat="1" ht="11.25">
      <c r="A19" s="52" t="s">
        <v>135</v>
      </c>
      <c r="B19" s="55" t="s">
        <v>130</v>
      </c>
      <c r="C19" s="17" t="str">
        <f>VLOOKUP(A19,Uhikhinnad!$A$6:$F$156,2,FALSE)</f>
        <v>teise astme pumpla tehnoloogia </v>
      </c>
      <c r="D19" s="17" t="str">
        <f>VLOOKUP(A19,Uhikhinnad!$A$6:$F$156,3,FALSE)</f>
        <v>(20-40 m3/h)</v>
      </c>
      <c r="E19" s="18" t="str">
        <f>VLOOKUP(A19,Uhikhinnad!$A$6:$F$156,4,FALSE)</f>
        <v>kmpl</v>
      </c>
      <c r="F19" s="19">
        <v>0</v>
      </c>
      <c r="G19" s="18">
        <f>VLOOKUP(A19,Uhikhinnad!$A$6:$F$156,5,FALSE)</f>
        <v>74400</v>
      </c>
      <c r="H19" s="18">
        <f>VLOOKUP(A19,Uhikhinnad!$A$6:$F$156,6,FALSE)</f>
        <v>0</v>
      </c>
      <c r="I19" s="35">
        <f t="shared" si="0"/>
        <v>0</v>
      </c>
      <c r="J19" s="49"/>
      <c r="L19" s="93"/>
      <c r="M19" s="93"/>
      <c r="N19" s="93"/>
    </row>
    <row r="20" spans="1:14" s="44" customFormat="1" ht="11.25">
      <c r="A20" s="52" t="s">
        <v>136</v>
      </c>
      <c r="B20" s="55" t="s">
        <v>130</v>
      </c>
      <c r="C20" s="17" t="str">
        <f>VLOOKUP(A20,Uhikhinnad!$A$6:$F$156,2,FALSE)</f>
        <v>teise astme pumpla tehnoloogia </v>
      </c>
      <c r="D20" s="17" t="str">
        <f>VLOOKUP(A20,Uhikhinnad!$A$6:$F$156,3,FALSE)</f>
        <v>(&gt;40 m3/h)</v>
      </c>
      <c r="E20" s="18" t="str">
        <f>VLOOKUP(A20,Uhikhinnad!$A$6:$F$156,4,FALSE)</f>
        <v>kmpl</v>
      </c>
      <c r="F20" s="19">
        <v>0</v>
      </c>
      <c r="G20" s="18">
        <f>VLOOKUP(A20,Uhikhinnad!$A$6:$F$156,5,FALSE)</f>
        <v>112000</v>
      </c>
      <c r="H20" s="18">
        <f>VLOOKUP(A20,Uhikhinnad!$A$6:$F$156,6,FALSE)</f>
        <v>0</v>
      </c>
      <c r="I20" s="35">
        <f t="shared" si="0"/>
        <v>0</v>
      </c>
      <c r="J20" s="49"/>
      <c r="K20" s="45"/>
      <c r="L20" s="93"/>
      <c r="M20" s="93"/>
      <c r="N20" s="93"/>
    </row>
    <row r="21" spans="1:14" s="44" customFormat="1" ht="11.25">
      <c r="A21" s="52">
        <v>107</v>
      </c>
      <c r="B21" s="55" t="s">
        <v>130</v>
      </c>
      <c r="C21" s="17" t="str">
        <f>VLOOKUP(A21,Uhikhinnad!$A$6:$F$156,2,FALSE)</f>
        <v>reservuaari rajamine</v>
      </c>
      <c r="D21" s="17">
        <f>VLOOKUP(A21,Uhikhinnad!$A$6:$F$156,3,FALSE)</f>
        <v>0</v>
      </c>
      <c r="E21" s="18">
        <f>VLOOKUP(A21,Uhikhinnad!$A$6:$F$156,4,FALSE)</f>
        <v>0</v>
      </c>
      <c r="F21" s="19">
        <v>0</v>
      </c>
      <c r="G21" s="18">
        <f>VLOOKUP(A21,Uhikhinnad!$A$6:$F$156,5,FALSE)</f>
        <v>0</v>
      </c>
      <c r="H21" s="18">
        <f>VLOOKUP(A21,Uhikhinnad!$A$6:$F$156,6,FALSE)</f>
        <v>0</v>
      </c>
      <c r="I21" s="35">
        <f t="shared" si="0"/>
        <v>0</v>
      </c>
      <c r="J21" s="49"/>
      <c r="L21" s="93"/>
      <c r="M21" s="93"/>
      <c r="N21" s="93"/>
    </row>
    <row r="22" spans="1:14" s="44" customFormat="1" ht="11.25">
      <c r="A22" s="52" t="s">
        <v>142</v>
      </c>
      <c r="B22" s="55" t="s">
        <v>130</v>
      </c>
      <c r="C22" s="17" t="str">
        <f>VLOOKUP(A22,Uhikhinnad!$A$6:$F$156,2,FALSE)</f>
        <v>reservuaari rajamine</v>
      </c>
      <c r="D22" s="17" t="str">
        <f>VLOOKUP(A22,Uhikhinnad!$A$6:$F$156,3,FALSE)</f>
        <v>plast (50 - 200 m3)</v>
      </c>
      <c r="E22" s="18" t="str">
        <f>VLOOKUP(A22,Uhikhinnad!$A$6:$F$156,4,FALSE)</f>
        <v>m3</v>
      </c>
      <c r="F22" s="19">
        <v>0</v>
      </c>
      <c r="G22" s="18">
        <f>VLOOKUP(A22,Uhikhinnad!$A$6:$F$156,5,FALSE)</f>
        <v>0</v>
      </c>
      <c r="H22" s="18">
        <f>VLOOKUP(A22,Uhikhinnad!$A$6:$F$156,6,FALSE)</f>
        <v>0</v>
      </c>
      <c r="I22" s="35">
        <f t="shared" si="0"/>
        <v>0</v>
      </c>
      <c r="J22" s="49"/>
      <c r="L22" s="93"/>
      <c r="M22" s="93"/>
      <c r="N22" s="93"/>
    </row>
    <row r="23" spans="1:14" s="44" customFormat="1" ht="11.25">
      <c r="A23" s="52" t="s">
        <v>143</v>
      </c>
      <c r="B23" s="55" t="s">
        <v>130</v>
      </c>
      <c r="C23" s="17" t="str">
        <f>VLOOKUP(A23,Uhikhinnad!$A$6:$F$156,2,FALSE)</f>
        <v>reservuaari rajamine</v>
      </c>
      <c r="D23" s="17" t="str">
        <f>VLOOKUP(A23,Uhikhinnad!$A$6:$F$156,3,FALSE)</f>
        <v>plast (201 + m3)</v>
      </c>
      <c r="E23" s="18" t="str">
        <f>VLOOKUP(A23,Uhikhinnad!$A$6:$F$156,4,FALSE)</f>
        <v>m3</v>
      </c>
      <c r="F23" s="19">
        <v>0</v>
      </c>
      <c r="G23" s="18">
        <f>VLOOKUP(A23,Uhikhinnad!$A$6:$F$156,5,FALSE)</f>
        <v>0</v>
      </c>
      <c r="H23" s="18">
        <f>VLOOKUP(A23,Uhikhinnad!$A$6:$F$156,6,FALSE)</f>
        <v>0</v>
      </c>
      <c r="I23" s="35">
        <f t="shared" si="0"/>
        <v>0</v>
      </c>
      <c r="J23" s="49"/>
      <c r="L23" s="93"/>
      <c r="M23" s="93"/>
      <c r="N23" s="93"/>
    </row>
    <row r="24" spans="1:14" s="44" customFormat="1" ht="11.25">
      <c r="A24" s="52" t="s">
        <v>144</v>
      </c>
      <c r="B24" s="55" t="s">
        <v>130</v>
      </c>
      <c r="C24" s="17" t="str">
        <f>VLOOKUP(A24,Uhikhinnad!$A$6:$F$156,2,FALSE)</f>
        <v>reservuaari rajamine</v>
      </c>
      <c r="D24" s="17" t="str">
        <f>VLOOKUP(A24,Uhikhinnad!$A$6:$F$156,3,FALSE)</f>
        <v>betoon (50 - 200 m3)</v>
      </c>
      <c r="E24" s="18" t="str">
        <f>VLOOKUP(A24,Uhikhinnad!$A$6:$F$156,4,FALSE)</f>
        <v>m3</v>
      </c>
      <c r="F24" s="19">
        <v>0</v>
      </c>
      <c r="G24" s="18">
        <f>VLOOKUP(A24,Uhikhinnad!$A$6:$F$156,5,FALSE)</f>
        <v>570</v>
      </c>
      <c r="H24" s="18">
        <f>VLOOKUP(A24,Uhikhinnad!$A$6:$F$156,6,FALSE)</f>
        <v>0</v>
      </c>
      <c r="I24" s="35">
        <f t="shared" si="0"/>
        <v>0</v>
      </c>
      <c r="J24" s="49"/>
      <c r="L24" s="93"/>
      <c r="M24" s="93"/>
      <c r="N24" s="93"/>
    </row>
    <row r="25" spans="1:14" s="44" customFormat="1" ht="11.25">
      <c r="A25" s="52" t="s">
        <v>202</v>
      </c>
      <c r="B25" s="55" t="s">
        <v>130</v>
      </c>
      <c r="C25" s="17" t="str">
        <f>VLOOKUP(A25,Uhikhinnad!$A$6:$F$156,2,FALSE)</f>
        <v>reservuaari rajamine</v>
      </c>
      <c r="D25" s="17" t="str">
        <f>VLOOKUP(A25,Uhikhinnad!$A$6:$F$156,3,FALSE)</f>
        <v>betoon (201 + m3)</v>
      </c>
      <c r="E25" s="18" t="str">
        <f>VLOOKUP(A25,Uhikhinnad!$A$6:$F$156,4,FALSE)</f>
        <v>m3</v>
      </c>
      <c r="F25" s="19">
        <v>0</v>
      </c>
      <c r="G25" s="18">
        <f>VLOOKUP(A25,Uhikhinnad!$A$6:$F$156,5,FALSE)</f>
        <v>450</v>
      </c>
      <c r="H25" s="18">
        <f>VLOOKUP(A25,Uhikhinnad!$A$6:$F$156,6,FALSE)</f>
        <v>0</v>
      </c>
      <c r="I25" s="35">
        <f t="shared" si="0"/>
        <v>0</v>
      </c>
      <c r="J25" s="49"/>
      <c r="L25" s="93"/>
      <c r="M25" s="93"/>
      <c r="N25" s="93"/>
    </row>
    <row r="26" spans="1:14" s="44" customFormat="1" ht="11.25">
      <c r="A26" s="52">
        <v>108</v>
      </c>
      <c r="B26" s="55" t="s">
        <v>130</v>
      </c>
      <c r="C26" s="17" t="str">
        <f>VLOOKUP(A26,Uhikhinnad!$A$6:$F$156,2,FALSE)</f>
        <v>reservuaari rekonstrueerimine</v>
      </c>
      <c r="D26" s="17">
        <f>VLOOKUP(A26,Uhikhinnad!$A$6:$F$156,3,FALSE)</f>
        <v>0</v>
      </c>
      <c r="E26" s="18">
        <f>VLOOKUP(A26,Uhikhinnad!$A$6:$F$156,4,FALSE)</f>
        <v>0</v>
      </c>
      <c r="F26" s="19">
        <v>0</v>
      </c>
      <c r="G26" s="18">
        <f>VLOOKUP(A26,Uhikhinnad!$A$6:$F$156,5,FALSE)</f>
        <v>0</v>
      </c>
      <c r="H26" s="18">
        <f>VLOOKUP(A26,Uhikhinnad!$A$6:$F$156,6,FALSE)</f>
        <v>0</v>
      </c>
      <c r="I26" s="35">
        <f t="shared" si="0"/>
        <v>0</v>
      </c>
      <c r="J26" s="49"/>
      <c r="L26" s="93"/>
      <c r="M26" s="93"/>
      <c r="N26" s="93"/>
    </row>
    <row r="27" spans="1:14" s="44" customFormat="1" ht="11.25">
      <c r="A27" s="52" t="s">
        <v>60</v>
      </c>
      <c r="B27" s="55" t="s">
        <v>130</v>
      </c>
      <c r="C27" s="17" t="str">
        <f>VLOOKUP(A27,Uhikhinnad!$A$6:$F$156,2,FALSE)</f>
        <v>reservuaari rekonstrueerimine</v>
      </c>
      <c r="D27" s="17" t="str">
        <f>VLOOKUP(A27,Uhikhinnad!$A$6:$F$156,3,FALSE)</f>
        <v>(50-200 m3)</v>
      </c>
      <c r="E27" s="18" t="str">
        <f>VLOOKUP(A27,Uhikhinnad!$A$6:$F$156,4,FALSE)</f>
        <v>m3</v>
      </c>
      <c r="F27" s="19">
        <v>0</v>
      </c>
      <c r="G27" s="18">
        <f>VLOOKUP(A27,Uhikhinnad!$A$6:$F$156,5,FALSE)</f>
        <v>250</v>
      </c>
      <c r="H27" s="18">
        <f>VLOOKUP(A27,Uhikhinnad!$A$6:$F$156,6,FALSE)</f>
        <v>0</v>
      </c>
      <c r="I27" s="35">
        <f t="shared" si="0"/>
        <v>0</v>
      </c>
      <c r="J27" s="49"/>
      <c r="L27" s="93"/>
      <c r="M27" s="93"/>
      <c r="N27" s="93"/>
    </row>
    <row r="28" spans="1:14" s="44" customFormat="1" ht="11.25">
      <c r="A28" s="52" t="s">
        <v>145</v>
      </c>
      <c r="B28" s="55" t="s">
        <v>130</v>
      </c>
      <c r="C28" s="17" t="str">
        <f>VLOOKUP(A28,Uhikhinnad!$A$6:$F$156,2,FALSE)</f>
        <v>reservuaari rekonstrueerimine</v>
      </c>
      <c r="D28" s="17" t="str">
        <f>VLOOKUP(A28,Uhikhinnad!$A$6:$F$156,3,FALSE)</f>
        <v>(201 + m3)</v>
      </c>
      <c r="E28" s="18" t="str">
        <f>VLOOKUP(A28,Uhikhinnad!$A$6:$F$156,4,FALSE)</f>
        <v>m3</v>
      </c>
      <c r="F28" s="19">
        <v>0</v>
      </c>
      <c r="G28" s="18">
        <f>VLOOKUP(A28,Uhikhinnad!$A$6:$F$156,5,FALSE)</f>
        <v>0</v>
      </c>
      <c r="H28" s="18">
        <f>VLOOKUP(A28,Uhikhinnad!$A$6:$F$156,6,FALSE)</f>
        <v>0</v>
      </c>
      <c r="I28" s="35">
        <f t="shared" si="0"/>
        <v>0</v>
      </c>
      <c r="J28" s="49"/>
      <c r="L28" s="93"/>
      <c r="M28" s="93"/>
      <c r="N28" s="93"/>
    </row>
    <row r="29" spans="1:14" s="44" customFormat="1" ht="11.25">
      <c r="A29" s="52" t="s">
        <v>65</v>
      </c>
      <c r="B29" s="55" t="s">
        <v>130</v>
      </c>
      <c r="C29" s="17" t="str">
        <f>VLOOKUP(A29,Uhikhinnad!$A$6:$F$156,2,FALSE)</f>
        <v>kaugjälgimise ja -juhtimise süsteem</v>
      </c>
      <c r="D29" s="17" t="str">
        <f>VLOOKUP(A29,Uhikhinnad!$A$6:$F$156,3,FALSE)</f>
        <v>(&lt;20 m3/h)</v>
      </c>
      <c r="E29" s="18" t="str">
        <f>VLOOKUP(A29,Uhikhinnad!$A$6:$F$156,4,FALSE)</f>
        <v>kmpl</v>
      </c>
      <c r="F29" s="19">
        <v>0</v>
      </c>
      <c r="G29" s="18">
        <f>VLOOKUP(A29,Uhikhinnad!$A$6:$F$156,5,FALSE)</f>
        <v>15000</v>
      </c>
      <c r="H29" s="18">
        <f>VLOOKUP(A29,Uhikhinnad!$A$6:$F$156,6,FALSE)</f>
        <v>0</v>
      </c>
      <c r="I29" s="35">
        <f t="shared" si="0"/>
        <v>0</v>
      </c>
      <c r="J29" s="49"/>
      <c r="L29" s="93"/>
      <c r="M29" s="93"/>
      <c r="N29" s="93"/>
    </row>
    <row r="30" spans="1:14" s="44" customFormat="1" ht="11.25">
      <c r="A30" s="52" t="s">
        <v>151</v>
      </c>
      <c r="B30" s="55" t="s">
        <v>130</v>
      </c>
      <c r="C30" s="17" t="str">
        <f>VLOOKUP(A30,Uhikhinnad!$A$6:$F$156,2,FALSE)</f>
        <v>kaugjälgimise ja -juhtimise süsteem</v>
      </c>
      <c r="D30" s="17" t="str">
        <f>VLOOKUP(A30,Uhikhinnad!$A$6:$F$156,3,FALSE)</f>
        <v>(&gt;20 m3/h)</v>
      </c>
      <c r="E30" s="18" t="str">
        <f>VLOOKUP(A30,Uhikhinnad!$A$6:$F$156,4,FALSE)</f>
        <v>kmpl</v>
      </c>
      <c r="F30" s="19">
        <v>0</v>
      </c>
      <c r="G30" s="18">
        <f>VLOOKUP(A30,Uhikhinnad!$A$6:$F$156,5,FALSE)</f>
        <v>50000</v>
      </c>
      <c r="H30" s="18">
        <f>VLOOKUP(A30,Uhikhinnad!$A$6:$F$156,6,FALSE)</f>
        <v>0</v>
      </c>
      <c r="I30" s="35">
        <f t="shared" si="0"/>
        <v>0</v>
      </c>
      <c r="J30" s="49"/>
      <c r="L30" s="93"/>
      <c r="M30" s="93"/>
      <c r="N30" s="93"/>
    </row>
    <row r="31" spans="1:14" s="44" customFormat="1" ht="11.25">
      <c r="A31" s="52">
        <v>601</v>
      </c>
      <c r="B31" s="55" t="s">
        <v>129</v>
      </c>
      <c r="C31" s="17" t="str">
        <f>VLOOKUP(A31,Uhikhinnad!$A$6:$F$156,2,FALSE)</f>
        <v>hoone rajamine</v>
      </c>
      <c r="D31" s="17">
        <f>VLOOKUP(A31,Uhikhinnad!$A$6:$F$156,3,FALSE)</f>
        <v>0</v>
      </c>
      <c r="E31" s="18" t="str">
        <f>VLOOKUP(A31,Uhikhinnad!$A$6:$F$156,4,FALSE)</f>
        <v>m2</v>
      </c>
      <c r="F31" s="19">
        <v>0</v>
      </c>
      <c r="G31" s="18">
        <f>VLOOKUP(A31,Uhikhinnad!$A$6:$F$156,5,FALSE)</f>
        <v>1023</v>
      </c>
      <c r="H31" s="18">
        <f>VLOOKUP(A31,Uhikhinnad!$A$6:$F$156,6,FALSE)</f>
        <v>0</v>
      </c>
      <c r="I31" s="35">
        <f t="shared" si="0"/>
        <v>0</v>
      </c>
      <c r="J31" s="49"/>
      <c r="L31" s="93"/>
      <c r="M31" s="93"/>
      <c r="N31" s="93"/>
    </row>
    <row r="32" spans="1:14" s="44" customFormat="1" ht="11.25">
      <c r="A32" s="52" t="s">
        <v>196</v>
      </c>
      <c r="B32" s="55" t="s">
        <v>129</v>
      </c>
      <c r="C32" s="17" t="str">
        <f>VLOOKUP(A32,Uhikhinnad!$A$6:$F$156,2,FALSE)</f>
        <v>hoone rajamine</v>
      </c>
      <c r="D32" s="17" t="str">
        <f>VLOOKUP(A32,Uhikhinnad!$A$6:$F$156,3,FALSE)</f>
        <v>väikeplokk</v>
      </c>
      <c r="E32" s="18" t="str">
        <f>VLOOKUP(A32,Uhikhinnad!$A$6:$F$156,4,FALSE)</f>
        <v>m2</v>
      </c>
      <c r="F32" s="19">
        <v>0</v>
      </c>
      <c r="G32" s="18">
        <f>VLOOKUP(A32,Uhikhinnad!$A$6:$F$156,5,FALSE)</f>
        <v>1023</v>
      </c>
      <c r="H32" s="18">
        <f>VLOOKUP(A32,Uhikhinnad!$A$6:$F$156,6,FALSE)</f>
        <v>0</v>
      </c>
      <c r="I32" s="35">
        <f t="shared" si="0"/>
        <v>0</v>
      </c>
      <c r="J32" s="49"/>
      <c r="L32" s="93"/>
      <c r="M32" s="93"/>
      <c r="N32" s="93"/>
    </row>
    <row r="33" spans="1:14" s="44" customFormat="1" ht="11.25">
      <c r="A33" s="52" t="s">
        <v>198</v>
      </c>
      <c r="B33" s="55" t="s">
        <v>129</v>
      </c>
      <c r="C33" s="17" t="str">
        <f>VLOOKUP(A33,Uhikhinnad!$A$6:$F$156,2,FALSE)</f>
        <v>hoone rajamine</v>
      </c>
      <c r="D33" s="17" t="str">
        <f>VLOOKUP(A33,Uhikhinnad!$A$6:$F$156,3,FALSE)</f>
        <v>fiboplokk</v>
      </c>
      <c r="E33" s="18" t="str">
        <f>VLOOKUP(A33,Uhikhinnad!$A$6:$F$156,4,FALSE)</f>
        <v>m2</v>
      </c>
      <c r="F33" s="19">
        <v>0</v>
      </c>
      <c r="G33" s="18">
        <f>VLOOKUP(A33,Uhikhinnad!$A$6:$F$156,5,FALSE)</f>
        <v>1023</v>
      </c>
      <c r="H33" s="18">
        <f>VLOOKUP(A33,Uhikhinnad!$A$6:$F$156,6,FALSE)</f>
        <v>0</v>
      </c>
      <c r="I33" s="35">
        <f t="shared" si="0"/>
        <v>0</v>
      </c>
      <c r="J33" s="49"/>
      <c r="L33" s="93"/>
      <c r="M33" s="93"/>
      <c r="N33" s="93"/>
    </row>
    <row r="34" spans="1:14" s="44" customFormat="1" ht="11.25">
      <c r="A34" s="52" t="s">
        <v>201</v>
      </c>
      <c r="B34" s="55" t="s">
        <v>129</v>
      </c>
      <c r="C34" s="17" t="str">
        <f>VLOOKUP(A34,Uhikhinnad!$A$6:$F$156,2,FALSE)</f>
        <v>hoone rajamine</v>
      </c>
      <c r="D34" s="17">
        <f>VLOOKUP(A34,Uhikhinnad!$A$6:$F$156,3,FALSE)</f>
        <v>0</v>
      </c>
      <c r="E34" s="18" t="str">
        <f>VLOOKUP(A34,Uhikhinnad!$A$6:$F$156,4,FALSE)</f>
        <v>m2</v>
      </c>
      <c r="F34" s="19">
        <v>0</v>
      </c>
      <c r="G34" s="18">
        <f>VLOOKUP(A34,Uhikhinnad!$A$6:$F$156,5,FALSE)</f>
        <v>0</v>
      </c>
      <c r="H34" s="18">
        <f>VLOOKUP(A34,Uhikhinnad!$A$6:$F$156,6,FALSE)</f>
        <v>0</v>
      </c>
      <c r="I34" s="35">
        <f t="shared" si="0"/>
        <v>0</v>
      </c>
      <c r="J34" s="49"/>
      <c r="L34" s="93"/>
      <c r="M34" s="93"/>
      <c r="N34" s="93"/>
    </row>
    <row r="35" spans="1:14" s="44" customFormat="1" ht="11.25">
      <c r="A35" s="52">
        <v>602</v>
      </c>
      <c r="B35" s="55" t="s">
        <v>129</v>
      </c>
      <c r="C35" s="17" t="str">
        <f>VLOOKUP(A35,Uhikhinnad!$A$6:$F$156,2,FALSE)</f>
        <v>hoone rekonstrueerimine</v>
      </c>
      <c r="D35" s="17">
        <f>VLOOKUP(A35,Uhikhinnad!$A$6:$F$156,3,FALSE)</f>
        <v>0</v>
      </c>
      <c r="E35" s="18" t="str">
        <f>VLOOKUP(A35,Uhikhinnad!$A$6:$F$156,4,FALSE)</f>
        <v>m2</v>
      </c>
      <c r="F35" s="19">
        <v>0</v>
      </c>
      <c r="G35" s="18">
        <f>VLOOKUP(A35,Uhikhinnad!$A$6:$F$156,5,FALSE)</f>
        <v>0</v>
      </c>
      <c r="H35" s="18">
        <f>VLOOKUP(A35,Uhikhinnad!$A$6:$F$156,6,FALSE)</f>
        <v>0</v>
      </c>
      <c r="I35" s="35">
        <f t="shared" si="0"/>
        <v>0</v>
      </c>
      <c r="J35" s="49"/>
      <c r="L35" s="93"/>
      <c r="M35" s="93"/>
      <c r="N35" s="93"/>
    </row>
    <row r="36" spans="1:14" s="44" customFormat="1" ht="11.25">
      <c r="A36" s="52" t="s">
        <v>197</v>
      </c>
      <c r="B36" s="55" t="s">
        <v>129</v>
      </c>
      <c r="C36" s="17" t="str">
        <f>VLOOKUP(A36,Uhikhinnad!$A$6:$F$156,2,FALSE)</f>
        <v>hoone rekonstrueerimine</v>
      </c>
      <c r="D36" s="17" t="str">
        <f>VLOOKUP(A36,Uhikhinnad!$A$6:$F$156,3,FALSE)</f>
        <v>väikeplokk</v>
      </c>
      <c r="E36" s="18" t="str">
        <f>VLOOKUP(A36,Uhikhinnad!$A$6:$F$156,4,FALSE)</f>
        <v>m2</v>
      </c>
      <c r="F36" s="19">
        <v>0</v>
      </c>
      <c r="G36" s="18">
        <f>VLOOKUP(A36,Uhikhinnad!$A$6:$F$156,5,FALSE)</f>
        <v>1000</v>
      </c>
      <c r="H36" s="18">
        <f>VLOOKUP(A36,Uhikhinnad!$A$6:$F$156,6,FALSE)</f>
        <v>0</v>
      </c>
      <c r="I36" s="35">
        <f t="shared" si="0"/>
        <v>0</v>
      </c>
      <c r="J36" s="49"/>
      <c r="L36" s="93"/>
      <c r="M36" s="93"/>
      <c r="N36" s="93"/>
    </row>
    <row r="37" spans="1:14" s="44" customFormat="1" ht="11.25">
      <c r="A37" s="52">
        <v>603</v>
      </c>
      <c r="B37" s="55" t="s">
        <v>129</v>
      </c>
      <c r="C37" s="17" t="str">
        <f>VLOOKUP(A37,Uhikhinnad!$A$6:$F$156,2,FALSE)</f>
        <v>hoone lammutamine</v>
      </c>
      <c r="D37" s="17">
        <f>VLOOKUP(A37,Uhikhinnad!$A$6:$F$156,3,FALSE)</f>
        <v>0</v>
      </c>
      <c r="E37" s="18" t="str">
        <f>VLOOKUP(A37,Uhikhinnad!$A$6:$F$156,4,FALSE)</f>
        <v>m2</v>
      </c>
      <c r="F37" s="19">
        <v>0</v>
      </c>
      <c r="G37" s="18">
        <f>VLOOKUP(A37,Uhikhinnad!$A$6:$F$156,5,FALSE)</f>
        <v>300</v>
      </c>
      <c r="H37" s="18">
        <f>VLOOKUP(A37,Uhikhinnad!$A$6:$F$156,6,FALSE)</f>
        <v>0</v>
      </c>
      <c r="I37" s="35">
        <f t="shared" si="0"/>
        <v>0</v>
      </c>
      <c r="J37" s="49"/>
      <c r="L37" s="93"/>
      <c r="M37" s="93"/>
      <c r="N37" s="93"/>
    </row>
    <row r="38" spans="1:14" s="44" customFormat="1" ht="11.25">
      <c r="A38" s="52">
        <v>604</v>
      </c>
      <c r="B38" s="55" t="s">
        <v>129</v>
      </c>
      <c r="C38" s="17" t="str">
        <f>VLOOKUP(A38,Uhikhinnad!$A$6:$F$156,2,FALSE)</f>
        <v>piirdeaed</v>
      </c>
      <c r="D38" s="17">
        <f>VLOOKUP(A38,Uhikhinnad!$A$6:$F$156,3,FALSE)</f>
        <v>0</v>
      </c>
      <c r="E38" s="18">
        <f>VLOOKUP(A38,Uhikhinnad!$A$6:$F$156,4,FALSE)</f>
        <v>0</v>
      </c>
      <c r="F38" s="19">
        <v>0</v>
      </c>
      <c r="G38" s="18">
        <f>VLOOKUP(A38,Uhikhinnad!$A$6:$F$156,5,FALSE)</f>
        <v>0</v>
      </c>
      <c r="H38" s="18">
        <f>VLOOKUP(A38,Uhikhinnad!$A$6:$F$156,6,FALSE)</f>
        <v>0</v>
      </c>
      <c r="I38" s="35">
        <f t="shared" si="0"/>
        <v>0</v>
      </c>
      <c r="J38" s="49"/>
      <c r="L38" s="93"/>
      <c r="M38" s="93"/>
      <c r="N38" s="93"/>
    </row>
    <row r="39" spans="1:14" s="44" customFormat="1" ht="11.25">
      <c r="A39" s="52" t="s">
        <v>256</v>
      </c>
      <c r="B39" s="55" t="s">
        <v>129</v>
      </c>
      <c r="C39" s="17" t="str">
        <f>VLOOKUP(A39,Uhikhinnad!$A$6:$F$156,2,FALSE)</f>
        <v>tsingitud võrkpaneelidest aed</v>
      </c>
      <c r="D39" s="17" t="str">
        <f>VLOOKUP(A39,Uhikhinnad!$A$6:$F$156,3,FALSE)</f>
        <v>h=1,73m, aed koos väravaga</v>
      </c>
      <c r="E39" s="18" t="str">
        <f>VLOOKUP(A39,Uhikhinnad!$A$6:$F$156,4,FALSE)</f>
        <v>m</v>
      </c>
      <c r="F39" s="19">
        <v>0</v>
      </c>
      <c r="G39" s="18">
        <f>VLOOKUP(A39,Uhikhinnad!$A$6:$F$156,5,FALSE)</f>
        <v>45</v>
      </c>
      <c r="H39" s="18">
        <f>VLOOKUP(A39,Uhikhinnad!$A$6:$F$156,6,FALSE)</f>
        <v>0</v>
      </c>
      <c r="I39" s="35">
        <f t="shared" si="0"/>
        <v>0</v>
      </c>
      <c r="J39" s="49"/>
      <c r="L39" s="93"/>
      <c r="M39" s="93"/>
      <c r="N39" s="93"/>
    </row>
    <row r="40" spans="1:14" s="44" customFormat="1" ht="11.25">
      <c r="A40" s="52" t="s">
        <v>257</v>
      </c>
      <c r="B40" s="55" t="s">
        <v>129</v>
      </c>
      <c r="C40" s="17" t="str">
        <f>VLOOKUP(A40,Uhikhinnad!$A$6:$F$156,2,FALSE)</f>
        <v>piirdeaed</v>
      </c>
      <c r="D40" s="17">
        <f>VLOOKUP(A40,Uhikhinnad!$A$6:$F$156,3,FALSE)</f>
        <v>0</v>
      </c>
      <c r="E40" s="18" t="str">
        <f>VLOOKUP(A40,Uhikhinnad!$A$6:$F$156,4,FALSE)</f>
        <v>m</v>
      </c>
      <c r="F40" s="19">
        <v>0</v>
      </c>
      <c r="G40" s="18">
        <f>VLOOKUP(A40,Uhikhinnad!$A$6:$F$156,5,FALSE)</f>
        <v>0</v>
      </c>
      <c r="H40" s="18">
        <f>VLOOKUP(A40,Uhikhinnad!$A$6:$F$156,6,FALSE)</f>
        <v>0</v>
      </c>
      <c r="I40" s="35">
        <f t="shared" si="0"/>
        <v>0</v>
      </c>
      <c r="J40" s="49"/>
      <c r="L40" s="93"/>
      <c r="M40" s="93"/>
      <c r="N40" s="93"/>
    </row>
    <row r="41" spans="1:14" s="44" customFormat="1" ht="11.25">
      <c r="A41" s="52">
        <v>605</v>
      </c>
      <c r="B41" s="55" t="s">
        <v>129</v>
      </c>
      <c r="C41" s="17" t="str">
        <f>VLOOKUP(A41,Uhikhinnad!$A$6:$F$156,2,FALSE)</f>
        <v>läbiviik jõe, maantee või raudtee alt</v>
      </c>
      <c r="D41" s="17" t="str">
        <f>VLOOKUP(A41,Uhikhinnad!$A$6:$F$156,3,FALSE)</f>
        <v>Toru ja hülss</v>
      </c>
      <c r="E41" s="18" t="str">
        <f>VLOOKUP(A41,Uhikhinnad!$A$6:$F$156,4,FALSE)</f>
        <v>tk</v>
      </c>
      <c r="F41" s="19">
        <v>0</v>
      </c>
      <c r="G41" s="18">
        <f>VLOOKUP(A41,Uhikhinnad!$A$6:$F$156,5,FALSE)</f>
        <v>14000</v>
      </c>
      <c r="H41" s="18">
        <f>VLOOKUP(A41,Uhikhinnad!$A$6:$F$156,6,FALSE)</f>
        <v>0</v>
      </c>
      <c r="I41" s="35">
        <f t="shared" si="0"/>
        <v>0</v>
      </c>
      <c r="J41" s="49"/>
      <c r="L41" s="93"/>
      <c r="M41" s="93"/>
      <c r="N41" s="93"/>
    </row>
    <row r="42" spans="1:14" ht="11.25">
      <c r="A42" s="52"/>
      <c r="B42" s="55"/>
      <c r="C42" s="17"/>
      <c r="D42" s="17"/>
      <c r="E42" s="18"/>
      <c r="F42" s="19"/>
      <c r="G42" s="18"/>
      <c r="H42" s="18"/>
      <c r="I42" s="35"/>
      <c r="J42" s="49"/>
      <c r="M42" s="51"/>
      <c r="N42" s="51"/>
    </row>
    <row r="43" spans="1:14" ht="11.25">
      <c r="A43" s="7"/>
      <c r="B43" s="8"/>
      <c r="C43" s="94" t="s">
        <v>90</v>
      </c>
      <c r="I43" s="62">
        <f>SUM(I44:I76)</f>
        <v>0</v>
      </c>
      <c r="J43" s="49"/>
      <c r="M43" s="51"/>
      <c r="N43" s="51"/>
    </row>
    <row r="44" spans="1:14" s="44" customFormat="1" ht="11.25">
      <c r="A44" s="52">
        <v>101</v>
      </c>
      <c r="B44" s="55" t="s">
        <v>129</v>
      </c>
      <c r="C44" s="17" t="str">
        <f>VLOOKUP(A44,Uhikhinnad!$A$6:$F$156,2,FALSE)</f>
        <v>puurkaevu puurimine</v>
      </c>
      <c r="D44" s="17">
        <f>VLOOKUP(A44,Uhikhinnad!$A$6:$F$156,3,FALSE)</f>
        <v>0</v>
      </c>
      <c r="E44" s="18" t="str">
        <f>VLOOKUP(A44,Uhikhinnad!$A$6:$F$156,4,FALSE)</f>
        <v>m</v>
      </c>
      <c r="F44" s="19">
        <v>0</v>
      </c>
      <c r="G44" s="18">
        <f>VLOOKUP(A44,Uhikhinnad!$A$6:$F$156,5,FALSE)</f>
        <v>220</v>
      </c>
      <c r="H44" s="18">
        <f>VLOOKUP(A44,Uhikhinnad!$A$6:$F$156,6,FALSE)</f>
        <v>0</v>
      </c>
      <c r="I44" s="35">
        <f aca="true" t="shared" si="1" ref="I44:I76">F44*G44+H44</f>
        <v>0</v>
      </c>
      <c r="J44" s="49"/>
      <c r="L44" s="93"/>
      <c r="M44" s="93"/>
      <c r="N44" s="93"/>
    </row>
    <row r="45" spans="1:14" s="44" customFormat="1" ht="11.25">
      <c r="A45" s="52">
        <v>102</v>
      </c>
      <c r="B45" s="55" t="s">
        <v>129</v>
      </c>
      <c r="C45" s="17" t="str">
        <f>VLOOKUP(A45,Uhikhinnad!$A$6:$F$156,2,FALSE)</f>
        <v>puuraugu tamponeerimine</v>
      </c>
      <c r="D45" s="17">
        <f>VLOOKUP(A45,Uhikhinnad!$A$6:$F$156,3,FALSE)</f>
        <v>0</v>
      </c>
      <c r="E45" s="18" t="str">
        <f>VLOOKUP(A45,Uhikhinnad!$A$6:$F$156,4,FALSE)</f>
        <v>kmpl</v>
      </c>
      <c r="F45" s="19">
        <v>0</v>
      </c>
      <c r="G45" s="18">
        <f>VLOOKUP(A45,Uhikhinnad!$A$6:$F$156,5,FALSE)</f>
        <v>3800</v>
      </c>
      <c r="H45" s="18">
        <f>VLOOKUP(A45,Uhikhinnad!$A$6:$F$156,6,FALSE)</f>
        <v>0</v>
      </c>
      <c r="I45" s="35">
        <f t="shared" si="1"/>
        <v>0</v>
      </c>
      <c r="J45" s="49"/>
      <c r="L45" s="93"/>
      <c r="M45" s="93"/>
      <c r="N45" s="93"/>
    </row>
    <row r="46" spans="1:14" s="44" customFormat="1" ht="11.25">
      <c r="A46" s="52">
        <v>104</v>
      </c>
      <c r="B46" s="55" t="s">
        <v>129</v>
      </c>
      <c r="C46" s="17" t="str">
        <f>VLOOKUP(A46,Uhikhinnad!$A$6:$F$156,2,FALSE)</f>
        <v>üheastmelise pumpla tehnoloogia</v>
      </c>
      <c r="D46" s="17">
        <f>VLOOKUP(A46,Uhikhinnad!$A$6:$F$156,3,FALSE)</f>
        <v>0</v>
      </c>
      <c r="E46" s="18" t="str">
        <f>VLOOKUP(A46,Uhikhinnad!$A$6:$F$156,4,FALSE)</f>
        <v>kmpl</v>
      </c>
      <c r="F46" s="19">
        <v>0</v>
      </c>
      <c r="G46" s="18">
        <f>VLOOKUP(A46,Uhikhinnad!$A$6:$F$156,5,FALSE)</f>
        <v>31800</v>
      </c>
      <c r="H46" s="18">
        <f>VLOOKUP(A46,Uhikhinnad!$A$6:$F$156,6,FALSE)</f>
        <v>0</v>
      </c>
      <c r="I46" s="35">
        <f t="shared" si="1"/>
        <v>0</v>
      </c>
      <c r="J46" s="49"/>
      <c r="L46" s="93"/>
      <c r="M46" s="93"/>
      <c r="N46" s="93"/>
    </row>
    <row r="47" spans="1:14" s="44" customFormat="1" ht="11.25">
      <c r="A47" s="52">
        <v>105</v>
      </c>
      <c r="B47" s="55" t="s">
        <v>129</v>
      </c>
      <c r="C47" s="17" t="str">
        <f>VLOOKUP(A47,Uhikhinnad!$A$6:$F$156,2,FALSE)</f>
        <v>veetöötlus</v>
      </c>
      <c r="D47" s="17">
        <f>VLOOKUP(A47,Uhikhinnad!$A$6:$F$156,3,FALSE)</f>
        <v>0</v>
      </c>
      <c r="E47" s="18">
        <f>VLOOKUP(A47,Uhikhinnad!$A$6:$F$156,4,FALSE)</f>
        <v>0</v>
      </c>
      <c r="F47" s="19">
        <v>0</v>
      </c>
      <c r="G47" s="18">
        <f>VLOOKUP(A47,Uhikhinnad!$A$6:$F$156,5,FALSE)</f>
        <v>0</v>
      </c>
      <c r="H47" s="18">
        <f>VLOOKUP(A47,Uhikhinnad!$A$6:$F$156,6,FALSE)</f>
        <v>0</v>
      </c>
      <c r="I47" s="35">
        <f t="shared" si="1"/>
        <v>0</v>
      </c>
      <c r="J47" s="49"/>
      <c r="L47" s="93"/>
      <c r="M47" s="93"/>
      <c r="N47" s="93"/>
    </row>
    <row r="48" spans="1:14" s="44" customFormat="1" ht="11.25">
      <c r="A48" s="52" t="s">
        <v>138</v>
      </c>
      <c r="B48" s="55" t="s">
        <v>129</v>
      </c>
      <c r="C48" s="17" t="str">
        <f>VLOOKUP(A48,Uhikhinnad!$A$6:$F$156,2,FALSE)</f>
        <v>veetöötlus</v>
      </c>
      <c r="D48" s="17" t="str">
        <f>VLOOKUP(A48,Uhikhinnad!$A$6:$F$156,3,FALSE)</f>
        <v>(raud)</v>
      </c>
      <c r="E48" s="18" t="str">
        <f>VLOOKUP(A48,Uhikhinnad!$A$6:$F$156,4,FALSE)</f>
        <v>m3/h</v>
      </c>
      <c r="F48" s="19">
        <v>0</v>
      </c>
      <c r="G48" s="18">
        <f>VLOOKUP(A48,Uhikhinnad!$A$6:$F$156,5,FALSE)</f>
        <v>1200</v>
      </c>
      <c r="H48" s="18">
        <f>VLOOKUP(A48,Uhikhinnad!$A$6:$F$156,6,FALSE)</f>
        <v>0</v>
      </c>
      <c r="I48" s="35">
        <f t="shared" si="1"/>
        <v>0</v>
      </c>
      <c r="J48" s="49"/>
      <c r="L48" s="93"/>
      <c r="M48" s="93"/>
      <c r="N48" s="93"/>
    </row>
    <row r="49" spans="1:14" s="44" customFormat="1" ht="11.25">
      <c r="A49" s="52" t="s">
        <v>139</v>
      </c>
      <c r="B49" s="55" t="s">
        <v>129</v>
      </c>
      <c r="C49" s="17" t="str">
        <f>VLOOKUP(A49,Uhikhinnad!$A$6:$F$156,2,FALSE)</f>
        <v>veetöötlus</v>
      </c>
      <c r="D49" s="17" t="str">
        <f>VLOOKUP(A49,Uhikhinnad!$A$6:$F$156,3,FALSE)</f>
        <v>(raud+mangaan)</v>
      </c>
      <c r="E49" s="18" t="str">
        <f>VLOOKUP(A49,Uhikhinnad!$A$6:$F$156,4,FALSE)</f>
        <v>m3/h</v>
      </c>
      <c r="F49" s="19">
        <v>0</v>
      </c>
      <c r="G49" s="18">
        <f>VLOOKUP(A49,Uhikhinnad!$A$6:$F$156,5,FALSE)</f>
        <v>1700</v>
      </c>
      <c r="H49" s="18">
        <f>VLOOKUP(A49,Uhikhinnad!$A$6:$F$156,6,FALSE)</f>
        <v>0</v>
      </c>
      <c r="I49" s="35">
        <f t="shared" si="1"/>
        <v>0</v>
      </c>
      <c r="J49" s="49"/>
      <c r="L49" s="93"/>
      <c r="M49" s="93"/>
      <c r="N49" s="93"/>
    </row>
    <row r="50" spans="1:14" s="44" customFormat="1" ht="11.25">
      <c r="A50" s="52" t="s">
        <v>140</v>
      </c>
      <c r="B50" s="55" t="s">
        <v>129</v>
      </c>
      <c r="C50" s="17" t="str">
        <f>VLOOKUP(A50,Uhikhinnad!$A$6:$F$156,2,FALSE)</f>
        <v>veetöötlus </v>
      </c>
      <c r="D50" s="17" t="str">
        <f>VLOOKUP(A50,Uhikhinnad!$A$6:$F$156,3,FALSE)</f>
        <v>(raud+mangaan+ammoonium)</v>
      </c>
      <c r="E50" s="18" t="str">
        <f>VLOOKUP(A50,Uhikhinnad!$A$6:$F$156,4,FALSE)</f>
        <v>m3/h</v>
      </c>
      <c r="F50" s="19">
        <v>0</v>
      </c>
      <c r="G50" s="18">
        <f>VLOOKUP(A50,Uhikhinnad!$A$6:$F$156,5,FALSE)</f>
        <v>1750</v>
      </c>
      <c r="H50" s="18">
        <f>VLOOKUP(A50,Uhikhinnad!$A$6:$F$156,6,FALSE)</f>
        <v>0</v>
      </c>
      <c r="I50" s="35">
        <f t="shared" si="1"/>
        <v>0</v>
      </c>
      <c r="J50" s="49"/>
      <c r="L50" s="93"/>
      <c r="M50" s="93"/>
      <c r="N50" s="93"/>
    </row>
    <row r="51" spans="1:14" s="44" customFormat="1" ht="11.25">
      <c r="A51" s="52" t="s">
        <v>141</v>
      </c>
      <c r="B51" s="55" t="s">
        <v>129</v>
      </c>
      <c r="C51" s="17" t="str">
        <f>VLOOKUP(A51,Uhikhinnad!$A$6:$F$156,2,FALSE)</f>
        <v>veetöötlus </v>
      </c>
      <c r="D51" s="17" t="str">
        <f>VLOOKUP(A51,Uhikhinnad!$A$6:$F$156,3,FALSE)</f>
        <v>(raud+mangaan+efektiivdoos)</v>
      </c>
      <c r="E51" s="18" t="str">
        <f>VLOOKUP(A51,Uhikhinnad!$A$6:$F$156,4,FALSE)</f>
        <v>m3/h</v>
      </c>
      <c r="F51" s="19">
        <v>0</v>
      </c>
      <c r="G51" s="18">
        <f>VLOOKUP(A51,Uhikhinnad!$A$6:$F$156,5,FALSE)</f>
        <v>1800</v>
      </c>
      <c r="H51" s="18">
        <f>VLOOKUP(A51,Uhikhinnad!$A$6:$F$156,6,FALSE)</f>
        <v>0</v>
      </c>
      <c r="I51" s="35">
        <f t="shared" si="1"/>
        <v>0</v>
      </c>
      <c r="J51" s="49"/>
      <c r="L51" s="93"/>
      <c r="M51" s="93"/>
      <c r="N51" s="93"/>
    </row>
    <row r="52" spans="1:14" s="44" customFormat="1" ht="11.25">
      <c r="A52" s="52">
        <v>106</v>
      </c>
      <c r="B52" s="55" t="s">
        <v>129</v>
      </c>
      <c r="C52" s="17" t="str">
        <f>VLOOKUP(A52,Uhikhinnad!$A$6:$F$156,2,FALSE)</f>
        <v>teise astme pumpla tehnoloogia </v>
      </c>
      <c r="D52" s="17">
        <f>VLOOKUP(A52,Uhikhinnad!$A$6:$F$156,3,FALSE)</f>
        <v>0</v>
      </c>
      <c r="E52" s="18">
        <f>VLOOKUP(A52,Uhikhinnad!$A$6:$F$156,4,FALSE)</f>
        <v>0</v>
      </c>
      <c r="F52" s="19">
        <v>0</v>
      </c>
      <c r="G52" s="18">
        <f>VLOOKUP(A52,Uhikhinnad!$A$6:$F$156,5,FALSE)</f>
        <v>0</v>
      </c>
      <c r="H52" s="18">
        <f>VLOOKUP(A52,Uhikhinnad!$A$6:$F$156,6,FALSE)</f>
        <v>0</v>
      </c>
      <c r="I52" s="35">
        <f t="shared" si="1"/>
        <v>0</v>
      </c>
      <c r="J52" s="49"/>
      <c r="L52" s="93"/>
      <c r="M52" s="93"/>
      <c r="N52" s="93"/>
    </row>
    <row r="53" spans="1:14" s="44" customFormat="1" ht="11.25">
      <c r="A53" s="52" t="s">
        <v>10</v>
      </c>
      <c r="B53" s="55" t="s">
        <v>129</v>
      </c>
      <c r="C53" s="17" t="str">
        <f>VLOOKUP(A53,Uhikhinnad!$A$6:$F$156,2,FALSE)</f>
        <v>teise astme pumpla tehnoloogia </v>
      </c>
      <c r="D53" s="17" t="str">
        <f>VLOOKUP(A53,Uhikhinnad!$A$6:$F$156,3,FALSE)</f>
        <v>(&lt;20 m3/h)</v>
      </c>
      <c r="E53" s="18" t="str">
        <f>VLOOKUP(A53,Uhikhinnad!$A$6:$F$156,4,FALSE)</f>
        <v>kmpl</v>
      </c>
      <c r="F53" s="19">
        <v>0</v>
      </c>
      <c r="G53" s="18">
        <f>VLOOKUP(A53,Uhikhinnad!$A$6:$F$156,5,FALSE)</f>
        <v>28000</v>
      </c>
      <c r="H53" s="18">
        <f>VLOOKUP(A53,Uhikhinnad!$A$6:$F$156,6,FALSE)</f>
        <v>0</v>
      </c>
      <c r="I53" s="35">
        <f t="shared" si="1"/>
        <v>0</v>
      </c>
      <c r="J53" s="49"/>
      <c r="L53" s="93"/>
      <c r="M53" s="93"/>
      <c r="N53" s="93"/>
    </row>
    <row r="54" spans="1:14" s="44" customFormat="1" ht="11.25">
      <c r="A54" s="52" t="s">
        <v>135</v>
      </c>
      <c r="B54" s="55" t="s">
        <v>129</v>
      </c>
      <c r="C54" s="17" t="str">
        <f>VLOOKUP(A54,Uhikhinnad!$A$6:$F$156,2,FALSE)</f>
        <v>teise astme pumpla tehnoloogia </v>
      </c>
      <c r="D54" s="17" t="str">
        <f>VLOOKUP(A54,Uhikhinnad!$A$6:$F$156,3,FALSE)</f>
        <v>(20-40 m3/h)</v>
      </c>
      <c r="E54" s="18" t="str">
        <f>VLOOKUP(A54,Uhikhinnad!$A$6:$F$156,4,FALSE)</f>
        <v>kmpl</v>
      </c>
      <c r="F54" s="19">
        <v>0</v>
      </c>
      <c r="G54" s="18">
        <f>VLOOKUP(A54,Uhikhinnad!$A$6:$F$156,5,FALSE)</f>
        <v>74400</v>
      </c>
      <c r="H54" s="18">
        <f>VLOOKUP(A54,Uhikhinnad!$A$6:$F$156,6,FALSE)</f>
        <v>0</v>
      </c>
      <c r="I54" s="35">
        <f t="shared" si="1"/>
        <v>0</v>
      </c>
      <c r="J54" s="49"/>
      <c r="L54" s="93"/>
      <c r="M54" s="93"/>
      <c r="N54" s="93"/>
    </row>
    <row r="55" spans="1:14" s="44" customFormat="1" ht="11.25">
      <c r="A55" s="52" t="s">
        <v>136</v>
      </c>
      <c r="B55" s="55" t="s">
        <v>129</v>
      </c>
      <c r="C55" s="17" t="str">
        <f>VLOOKUP(A55,Uhikhinnad!$A$6:$F$156,2,FALSE)</f>
        <v>teise astme pumpla tehnoloogia </v>
      </c>
      <c r="D55" s="17" t="str">
        <f>VLOOKUP(A55,Uhikhinnad!$A$6:$F$156,3,FALSE)</f>
        <v>(&gt;40 m3/h)</v>
      </c>
      <c r="E55" s="18" t="str">
        <f>VLOOKUP(A55,Uhikhinnad!$A$6:$F$156,4,FALSE)</f>
        <v>kmpl</v>
      </c>
      <c r="F55" s="19">
        <v>0</v>
      </c>
      <c r="G55" s="18">
        <f>VLOOKUP(A55,Uhikhinnad!$A$6:$F$156,5,FALSE)</f>
        <v>112000</v>
      </c>
      <c r="H55" s="18">
        <f>VLOOKUP(A55,Uhikhinnad!$A$6:$F$156,6,FALSE)</f>
        <v>0</v>
      </c>
      <c r="I55" s="35">
        <f t="shared" si="1"/>
        <v>0</v>
      </c>
      <c r="J55" s="49"/>
      <c r="L55" s="93"/>
      <c r="M55" s="93"/>
      <c r="N55" s="93"/>
    </row>
    <row r="56" spans="1:14" s="44" customFormat="1" ht="11.25">
      <c r="A56" s="52">
        <v>107</v>
      </c>
      <c r="B56" s="55" t="s">
        <v>129</v>
      </c>
      <c r="C56" s="17" t="str">
        <f>VLOOKUP(A56,Uhikhinnad!$A$6:$F$156,2,FALSE)</f>
        <v>reservuaari rajamine</v>
      </c>
      <c r="D56" s="17">
        <f>VLOOKUP(A56,Uhikhinnad!$A$6:$F$156,3,FALSE)</f>
        <v>0</v>
      </c>
      <c r="E56" s="18">
        <f>VLOOKUP(A56,Uhikhinnad!$A$6:$F$156,4,FALSE)</f>
        <v>0</v>
      </c>
      <c r="F56" s="19">
        <v>0</v>
      </c>
      <c r="G56" s="18">
        <f>VLOOKUP(A56,Uhikhinnad!$A$6:$F$156,5,FALSE)</f>
        <v>0</v>
      </c>
      <c r="H56" s="18">
        <f>VLOOKUP(A56,Uhikhinnad!$A$6:$F$156,6,FALSE)</f>
        <v>0</v>
      </c>
      <c r="I56" s="35">
        <f t="shared" si="1"/>
        <v>0</v>
      </c>
      <c r="J56" s="49"/>
      <c r="L56" s="93"/>
      <c r="M56" s="93"/>
      <c r="N56" s="93"/>
    </row>
    <row r="57" spans="1:14" s="44" customFormat="1" ht="11.25">
      <c r="A57" s="52" t="s">
        <v>142</v>
      </c>
      <c r="B57" s="55" t="s">
        <v>129</v>
      </c>
      <c r="C57" s="17" t="str">
        <f>VLOOKUP(A57,Uhikhinnad!$A$6:$F$156,2,FALSE)</f>
        <v>reservuaari rajamine</v>
      </c>
      <c r="D57" s="17" t="str">
        <f>VLOOKUP(A57,Uhikhinnad!$A$6:$F$156,3,FALSE)</f>
        <v>plast (50 - 200 m3)</v>
      </c>
      <c r="E57" s="18" t="str">
        <f>VLOOKUP(A57,Uhikhinnad!$A$6:$F$156,4,FALSE)</f>
        <v>m3</v>
      </c>
      <c r="F57" s="19">
        <v>0</v>
      </c>
      <c r="G57" s="18">
        <f>VLOOKUP(A57,Uhikhinnad!$A$6:$F$156,5,FALSE)</f>
        <v>0</v>
      </c>
      <c r="H57" s="18">
        <f>VLOOKUP(A57,Uhikhinnad!$A$6:$F$156,6,FALSE)</f>
        <v>0</v>
      </c>
      <c r="I57" s="35">
        <f t="shared" si="1"/>
        <v>0</v>
      </c>
      <c r="J57" s="49"/>
      <c r="L57" s="93"/>
      <c r="M57" s="93"/>
      <c r="N57" s="93"/>
    </row>
    <row r="58" spans="1:14" s="44" customFormat="1" ht="11.25">
      <c r="A58" s="52" t="s">
        <v>143</v>
      </c>
      <c r="B58" s="55" t="s">
        <v>129</v>
      </c>
      <c r="C58" s="17" t="str">
        <f>VLOOKUP(A58,Uhikhinnad!$A$6:$F$156,2,FALSE)</f>
        <v>reservuaari rajamine</v>
      </c>
      <c r="D58" s="17" t="str">
        <f>VLOOKUP(A58,Uhikhinnad!$A$6:$F$156,3,FALSE)</f>
        <v>plast (201 + m3)</v>
      </c>
      <c r="E58" s="18" t="str">
        <f>VLOOKUP(A58,Uhikhinnad!$A$6:$F$156,4,FALSE)</f>
        <v>m3</v>
      </c>
      <c r="F58" s="19">
        <v>0</v>
      </c>
      <c r="G58" s="18">
        <f>VLOOKUP(A58,Uhikhinnad!$A$6:$F$156,5,FALSE)</f>
        <v>0</v>
      </c>
      <c r="H58" s="18">
        <f>VLOOKUP(A58,Uhikhinnad!$A$6:$F$156,6,FALSE)</f>
        <v>0</v>
      </c>
      <c r="I58" s="35">
        <f t="shared" si="1"/>
        <v>0</v>
      </c>
      <c r="J58" s="49"/>
      <c r="L58" s="93"/>
      <c r="M58" s="93"/>
      <c r="N58" s="93"/>
    </row>
    <row r="59" spans="1:14" s="44" customFormat="1" ht="11.25">
      <c r="A59" s="52" t="s">
        <v>144</v>
      </c>
      <c r="B59" s="55" t="s">
        <v>129</v>
      </c>
      <c r="C59" s="17" t="str">
        <f>VLOOKUP(A59,Uhikhinnad!$A$6:$F$156,2,FALSE)</f>
        <v>reservuaari rajamine</v>
      </c>
      <c r="D59" s="17" t="str">
        <f>VLOOKUP(A59,Uhikhinnad!$A$6:$F$156,3,FALSE)</f>
        <v>betoon (50 - 200 m3)</v>
      </c>
      <c r="E59" s="18" t="str">
        <f>VLOOKUP(A59,Uhikhinnad!$A$6:$F$156,4,FALSE)</f>
        <v>m3</v>
      </c>
      <c r="F59" s="19">
        <v>0</v>
      </c>
      <c r="G59" s="18">
        <f>VLOOKUP(A59,Uhikhinnad!$A$6:$F$156,5,FALSE)</f>
        <v>570</v>
      </c>
      <c r="H59" s="18">
        <f>VLOOKUP(A59,Uhikhinnad!$A$6:$F$156,6,FALSE)</f>
        <v>0</v>
      </c>
      <c r="I59" s="35">
        <f t="shared" si="1"/>
        <v>0</v>
      </c>
      <c r="J59" s="49"/>
      <c r="L59" s="93"/>
      <c r="M59" s="93"/>
      <c r="N59" s="93"/>
    </row>
    <row r="60" spans="1:14" s="44" customFormat="1" ht="11.25">
      <c r="A60" s="52" t="s">
        <v>202</v>
      </c>
      <c r="B60" s="55" t="s">
        <v>129</v>
      </c>
      <c r="C60" s="17" t="str">
        <f>VLOOKUP(A60,Uhikhinnad!$A$6:$F$156,2,FALSE)</f>
        <v>reservuaari rajamine</v>
      </c>
      <c r="D60" s="17" t="str">
        <f>VLOOKUP(A60,Uhikhinnad!$A$6:$F$156,3,FALSE)</f>
        <v>betoon (201 + m3)</v>
      </c>
      <c r="E60" s="18" t="str">
        <f>VLOOKUP(A60,Uhikhinnad!$A$6:$F$156,4,FALSE)</f>
        <v>m3</v>
      </c>
      <c r="F60" s="19">
        <v>0</v>
      </c>
      <c r="G60" s="18">
        <f>VLOOKUP(A60,Uhikhinnad!$A$6:$F$156,5,FALSE)</f>
        <v>450</v>
      </c>
      <c r="H60" s="18">
        <f>VLOOKUP(A60,Uhikhinnad!$A$6:$F$156,6,FALSE)</f>
        <v>0</v>
      </c>
      <c r="I60" s="35">
        <f t="shared" si="1"/>
        <v>0</v>
      </c>
      <c r="J60" s="49"/>
      <c r="L60" s="93"/>
      <c r="M60" s="93"/>
      <c r="N60" s="93"/>
    </row>
    <row r="61" spans="1:14" s="44" customFormat="1" ht="11.25">
      <c r="A61" s="52">
        <v>108</v>
      </c>
      <c r="B61" s="55" t="s">
        <v>129</v>
      </c>
      <c r="C61" s="17" t="str">
        <f>VLOOKUP(A61,Uhikhinnad!$A$6:$F$156,2,FALSE)</f>
        <v>reservuaari rekonstrueerimine</v>
      </c>
      <c r="D61" s="17">
        <f>VLOOKUP(A61,Uhikhinnad!$A$6:$F$156,3,FALSE)</f>
        <v>0</v>
      </c>
      <c r="E61" s="18">
        <f>VLOOKUP(A61,Uhikhinnad!$A$6:$F$156,4,FALSE)</f>
        <v>0</v>
      </c>
      <c r="F61" s="19">
        <v>0</v>
      </c>
      <c r="G61" s="18">
        <f>VLOOKUP(A61,Uhikhinnad!$A$6:$F$156,5,FALSE)</f>
        <v>0</v>
      </c>
      <c r="H61" s="18">
        <f>VLOOKUP(A61,Uhikhinnad!$A$6:$F$156,6,FALSE)</f>
        <v>0</v>
      </c>
      <c r="I61" s="35">
        <f t="shared" si="1"/>
        <v>0</v>
      </c>
      <c r="J61" s="49"/>
      <c r="L61" s="93"/>
      <c r="M61" s="93"/>
      <c r="N61" s="93"/>
    </row>
    <row r="62" spans="1:14" s="44" customFormat="1" ht="11.25">
      <c r="A62" s="52" t="s">
        <v>60</v>
      </c>
      <c r="B62" s="55" t="s">
        <v>129</v>
      </c>
      <c r="C62" s="17" t="str">
        <f>VLOOKUP(A62,Uhikhinnad!$A$6:$F$156,2,FALSE)</f>
        <v>reservuaari rekonstrueerimine</v>
      </c>
      <c r="D62" s="17" t="str">
        <f>VLOOKUP(A62,Uhikhinnad!$A$6:$F$156,3,FALSE)</f>
        <v>(50-200 m3)</v>
      </c>
      <c r="E62" s="18" t="str">
        <f>VLOOKUP(A62,Uhikhinnad!$A$6:$F$156,4,FALSE)</f>
        <v>m3</v>
      </c>
      <c r="F62" s="19">
        <v>0</v>
      </c>
      <c r="G62" s="18">
        <f>VLOOKUP(A62,Uhikhinnad!$A$6:$F$156,5,FALSE)</f>
        <v>250</v>
      </c>
      <c r="H62" s="18">
        <f>VLOOKUP(A62,Uhikhinnad!$A$6:$F$156,6,FALSE)</f>
        <v>0</v>
      </c>
      <c r="I62" s="35">
        <f t="shared" si="1"/>
        <v>0</v>
      </c>
      <c r="J62" s="49"/>
      <c r="L62" s="93"/>
      <c r="M62" s="93"/>
      <c r="N62" s="93"/>
    </row>
    <row r="63" spans="1:14" s="44" customFormat="1" ht="11.25">
      <c r="A63" s="52" t="s">
        <v>145</v>
      </c>
      <c r="B63" s="55" t="s">
        <v>129</v>
      </c>
      <c r="C63" s="17" t="str">
        <f>VLOOKUP(A63,Uhikhinnad!$A$6:$F$156,2,FALSE)</f>
        <v>reservuaari rekonstrueerimine</v>
      </c>
      <c r="D63" s="17" t="str">
        <f>VLOOKUP(A63,Uhikhinnad!$A$6:$F$156,3,FALSE)</f>
        <v>(201 + m3)</v>
      </c>
      <c r="E63" s="18" t="str">
        <f>VLOOKUP(A63,Uhikhinnad!$A$6:$F$156,4,FALSE)</f>
        <v>m3</v>
      </c>
      <c r="F63" s="19">
        <v>0</v>
      </c>
      <c r="G63" s="18">
        <f>VLOOKUP(A63,Uhikhinnad!$A$6:$F$156,5,FALSE)</f>
        <v>0</v>
      </c>
      <c r="H63" s="18">
        <f>VLOOKUP(A63,Uhikhinnad!$A$6:$F$156,6,FALSE)</f>
        <v>0</v>
      </c>
      <c r="I63" s="35">
        <f t="shared" si="1"/>
        <v>0</v>
      </c>
      <c r="J63" s="49"/>
      <c r="L63" s="93"/>
      <c r="M63" s="93"/>
      <c r="N63" s="93"/>
    </row>
    <row r="64" spans="1:14" s="44" customFormat="1" ht="11.25">
      <c r="A64" s="52" t="s">
        <v>65</v>
      </c>
      <c r="B64" s="55" t="s">
        <v>129</v>
      </c>
      <c r="C64" s="17" t="str">
        <f>VLOOKUP(A64,Uhikhinnad!$A$6:$F$156,2,FALSE)</f>
        <v>kaugjälgimise ja -juhtimise süsteem</v>
      </c>
      <c r="D64" s="17" t="str">
        <f>VLOOKUP(A64,Uhikhinnad!$A$6:$F$156,3,FALSE)</f>
        <v>(&lt;20 m3/h)</v>
      </c>
      <c r="E64" s="18" t="str">
        <f>VLOOKUP(A64,Uhikhinnad!$A$6:$F$156,4,FALSE)</f>
        <v>kmpl</v>
      </c>
      <c r="F64" s="19">
        <v>0</v>
      </c>
      <c r="G64" s="18">
        <f>VLOOKUP(A64,Uhikhinnad!$A$6:$F$156,5,FALSE)</f>
        <v>15000</v>
      </c>
      <c r="H64" s="18">
        <f>VLOOKUP(A64,Uhikhinnad!$A$6:$F$156,6,FALSE)</f>
        <v>0</v>
      </c>
      <c r="I64" s="35">
        <f t="shared" si="1"/>
        <v>0</v>
      </c>
      <c r="J64" s="49"/>
      <c r="L64" s="93"/>
      <c r="M64" s="93"/>
      <c r="N64" s="93"/>
    </row>
    <row r="65" spans="1:14" s="44" customFormat="1" ht="11.25">
      <c r="A65" s="52" t="s">
        <v>151</v>
      </c>
      <c r="B65" s="55" t="s">
        <v>129</v>
      </c>
      <c r="C65" s="17" t="str">
        <f>VLOOKUP(A65,Uhikhinnad!$A$6:$F$156,2,FALSE)</f>
        <v>kaugjälgimise ja -juhtimise süsteem</v>
      </c>
      <c r="D65" s="17" t="str">
        <f>VLOOKUP(A65,Uhikhinnad!$A$6:$F$156,3,FALSE)</f>
        <v>(&gt;20 m3/h)</v>
      </c>
      <c r="E65" s="18" t="str">
        <f>VLOOKUP(A65,Uhikhinnad!$A$6:$F$156,4,FALSE)</f>
        <v>kmpl</v>
      </c>
      <c r="F65" s="19">
        <v>0</v>
      </c>
      <c r="G65" s="18">
        <f>VLOOKUP(A65,Uhikhinnad!$A$6:$F$156,5,FALSE)</f>
        <v>50000</v>
      </c>
      <c r="H65" s="18">
        <f>VLOOKUP(A65,Uhikhinnad!$A$6:$F$156,6,FALSE)</f>
        <v>0</v>
      </c>
      <c r="I65" s="35">
        <f t="shared" si="1"/>
        <v>0</v>
      </c>
      <c r="J65" s="49"/>
      <c r="L65" s="93"/>
      <c r="M65" s="93"/>
      <c r="N65" s="93"/>
    </row>
    <row r="66" spans="1:14" s="44" customFormat="1" ht="11.25">
      <c r="A66" s="52">
        <v>601</v>
      </c>
      <c r="B66" s="55" t="s">
        <v>129</v>
      </c>
      <c r="C66" s="17" t="str">
        <f>VLOOKUP(A66,Uhikhinnad!$A$6:$F$156,2,FALSE)</f>
        <v>hoone rajamine</v>
      </c>
      <c r="D66" s="17">
        <f>VLOOKUP(A66,Uhikhinnad!$A$6:$F$156,3,FALSE)</f>
        <v>0</v>
      </c>
      <c r="E66" s="18" t="str">
        <f>VLOOKUP(A66,Uhikhinnad!$A$6:$F$156,4,FALSE)</f>
        <v>m2</v>
      </c>
      <c r="F66" s="19">
        <v>0</v>
      </c>
      <c r="G66" s="18">
        <f>VLOOKUP(A66,Uhikhinnad!$A$6:$F$156,5,FALSE)</f>
        <v>1023</v>
      </c>
      <c r="H66" s="18">
        <f>VLOOKUP(A66,Uhikhinnad!$A$6:$F$156,6,FALSE)</f>
        <v>0</v>
      </c>
      <c r="I66" s="35">
        <f t="shared" si="1"/>
        <v>0</v>
      </c>
      <c r="J66" s="49"/>
      <c r="L66" s="93"/>
      <c r="M66" s="93"/>
      <c r="N66" s="93"/>
    </row>
    <row r="67" spans="1:14" s="44" customFormat="1" ht="11.25">
      <c r="A67" s="52" t="s">
        <v>196</v>
      </c>
      <c r="B67" s="55" t="s">
        <v>129</v>
      </c>
      <c r="C67" s="17" t="str">
        <f>VLOOKUP(A67,Uhikhinnad!$A$6:$F$156,2,FALSE)</f>
        <v>hoone rajamine</v>
      </c>
      <c r="D67" s="17" t="str">
        <f>VLOOKUP(A67,Uhikhinnad!$A$6:$F$156,3,FALSE)</f>
        <v>väikeplokk</v>
      </c>
      <c r="E67" s="18" t="str">
        <f>VLOOKUP(A67,Uhikhinnad!$A$6:$F$156,4,FALSE)</f>
        <v>m2</v>
      </c>
      <c r="F67" s="19">
        <v>0</v>
      </c>
      <c r="G67" s="18">
        <f>VLOOKUP(A67,Uhikhinnad!$A$6:$F$156,5,FALSE)</f>
        <v>1023</v>
      </c>
      <c r="H67" s="18">
        <f>VLOOKUP(A67,Uhikhinnad!$A$6:$F$156,6,FALSE)</f>
        <v>0</v>
      </c>
      <c r="I67" s="35">
        <f t="shared" si="1"/>
        <v>0</v>
      </c>
      <c r="J67" s="49"/>
      <c r="L67" s="93"/>
      <c r="M67" s="93"/>
      <c r="N67" s="93"/>
    </row>
    <row r="68" spans="1:14" s="44" customFormat="1" ht="11.25">
      <c r="A68" s="52" t="s">
        <v>198</v>
      </c>
      <c r="B68" s="55" t="s">
        <v>129</v>
      </c>
      <c r="C68" s="17" t="str">
        <f>VLOOKUP(A68,Uhikhinnad!$A$6:$F$156,2,FALSE)</f>
        <v>hoone rajamine</v>
      </c>
      <c r="D68" s="17" t="str">
        <f>VLOOKUP(A68,Uhikhinnad!$A$6:$F$156,3,FALSE)</f>
        <v>fiboplokk</v>
      </c>
      <c r="E68" s="18" t="str">
        <f>VLOOKUP(A68,Uhikhinnad!$A$6:$F$156,4,FALSE)</f>
        <v>m2</v>
      </c>
      <c r="F68" s="19">
        <v>0</v>
      </c>
      <c r="G68" s="18">
        <f>VLOOKUP(A68,Uhikhinnad!$A$6:$F$156,5,FALSE)</f>
        <v>1023</v>
      </c>
      <c r="H68" s="18">
        <f>VLOOKUP(A68,Uhikhinnad!$A$6:$F$156,6,FALSE)</f>
        <v>0</v>
      </c>
      <c r="I68" s="35">
        <f t="shared" si="1"/>
        <v>0</v>
      </c>
      <c r="J68" s="49"/>
      <c r="L68" s="93"/>
      <c r="M68" s="93"/>
      <c r="N68" s="93"/>
    </row>
    <row r="69" spans="1:14" s="44" customFormat="1" ht="11.25">
      <c r="A69" s="52" t="s">
        <v>201</v>
      </c>
      <c r="B69" s="55" t="s">
        <v>129</v>
      </c>
      <c r="C69" s="17" t="str">
        <f>VLOOKUP(A69,Uhikhinnad!$A$6:$F$156,2,FALSE)</f>
        <v>hoone rajamine</v>
      </c>
      <c r="D69" s="17">
        <f>VLOOKUP(A69,Uhikhinnad!$A$6:$F$156,3,FALSE)</f>
        <v>0</v>
      </c>
      <c r="E69" s="18" t="str">
        <f>VLOOKUP(A69,Uhikhinnad!$A$6:$F$156,4,FALSE)</f>
        <v>m2</v>
      </c>
      <c r="F69" s="19">
        <v>0</v>
      </c>
      <c r="G69" s="18">
        <f>VLOOKUP(A69,Uhikhinnad!$A$6:$F$156,5,FALSE)</f>
        <v>0</v>
      </c>
      <c r="H69" s="18">
        <f>VLOOKUP(A69,Uhikhinnad!$A$6:$F$156,6,FALSE)</f>
        <v>0</v>
      </c>
      <c r="I69" s="35">
        <f t="shared" si="1"/>
        <v>0</v>
      </c>
      <c r="J69" s="49"/>
      <c r="L69" s="93"/>
      <c r="M69" s="93"/>
      <c r="N69" s="93"/>
    </row>
    <row r="70" spans="1:14" s="44" customFormat="1" ht="11.25">
      <c r="A70" s="52">
        <v>602</v>
      </c>
      <c r="B70" s="55" t="s">
        <v>129</v>
      </c>
      <c r="C70" s="17" t="str">
        <f>VLOOKUP(A70,Uhikhinnad!$A$6:$F$156,2,FALSE)</f>
        <v>hoone rekonstrueerimine</v>
      </c>
      <c r="D70" s="17">
        <f>VLOOKUP(A70,Uhikhinnad!$A$6:$F$156,3,FALSE)</f>
        <v>0</v>
      </c>
      <c r="E70" s="18" t="str">
        <f>VLOOKUP(A70,Uhikhinnad!$A$6:$F$156,4,FALSE)</f>
        <v>m2</v>
      </c>
      <c r="F70" s="19">
        <v>0</v>
      </c>
      <c r="G70" s="18">
        <f>VLOOKUP(A70,Uhikhinnad!$A$6:$F$156,5,FALSE)</f>
        <v>0</v>
      </c>
      <c r="H70" s="18">
        <f>VLOOKUP(A70,Uhikhinnad!$A$6:$F$156,6,FALSE)</f>
        <v>0</v>
      </c>
      <c r="I70" s="35">
        <f t="shared" si="1"/>
        <v>0</v>
      </c>
      <c r="J70" s="49"/>
      <c r="L70" s="93"/>
      <c r="M70" s="93"/>
      <c r="N70" s="93"/>
    </row>
    <row r="71" spans="1:14" s="44" customFormat="1" ht="11.25">
      <c r="A71" s="52" t="s">
        <v>197</v>
      </c>
      <c r="B71" s="55" t="s">
        <v>129</v>
      </c>
      <c r="C71" s="17" t="str">
        <f>VLOOKUP(A71,Uhikhinnad!$A$6:$F$156,2,FALSE)</f>
        <v>hoone rekonstrueerimine</v>
      </c>
      <c r="D71" s="17" t="str">
        <f>VLOOKUP(A71,Uhikhinnad!$A$6:$F$156,3,FALSE)</f>
        <v>väikeplokk</v>
      </c>
      <c r="E71" s="18" t="str">
        <f>VLOOKUP(A71,Uhikhinnad!$A$6:$F$156,4,FALSE)</f>
        <v>m2</v>
      </c>
      <c r="F71" s="19">
        <v>0</v>
      </c>
      <c r="G71" s="18">
        <f>VLOOKUP(A71,Uhikhinnad!$A$6:$F$156,5,FALSE)</f>
        <v>1000</v>
      </c>
      <c r="H71" s="18">
        <f>VLOOKUP(A71,Uhikhinnad!$A$6:$F$156,6,FALSE)</f>
        <v>0</v>
      </c>
      <c r="I71" s="35">
        <f t="shared" si="1"/>
        <v>0</v>
      </c>
      <c r="J71" s="49"/>
      <c r="L71" s="93"/>
      <c r="M71" s="93"/>
      <c r="N71" s="93"/>
    </row>
    <row r="72" spans="1:14" s="44" customFormat="1" ht="11.25">
      <c r="A72" s="52">
        <v>603</v>
      </c>
      <c r="B72" s="55" t="s">
        <v>129</v>
      </c>
      <c r="C72" s="17" t="str">
        <f>VLOOKUP(A72,Uhikhinnad!$A$6:$F$156,2,FALSE)</f>
        <v>hoone lammutamine</v>
      </c>
      <c r="D72" s="17">
        <f>VLOOKUP(A72,Uhikhinnad!$A$6:$F$156,3,FALSE)</f>
        <v>0</v>
      </c>
      <c r="E72" s="18" t="str">
        <f>VLOOKUP(A72,Uhikhinnad!$A$6:$F$156,4,FALSE)</f>
        <v>m2</v>
      </c>
      <c r="F72" s="19">
        <v>0</v>
      </c>
      <c r="G72" s="18">
        <f>VLOOKUP(A72,Uhikhinnad!$A$6:$F$156,5,FALSE)</f>
        <v>300</v>
      </c>
      <c r="H72" s="18">
        <f>VLOOKUP(A72,Uhikhinnad!$A$6:$F$156,6,FALSE)</f>
        <v>0</v>
      </c>
      <c r="I72" s="35">
        <f t="shared" si="1"/>
        <v>0</v>
      </c>
      <c r="J72" s="49"/>
      <c r="L72" s="93"/>
      <c r="M72" s="93"/>
      <c r="N72" s="93"/>
    </row>
    <row r="73" spans="1:14" s="44" customFormat="1" ht="11.25">
      <c r="A73" s="52">
        <v>604</v>
      </c>
      <c r="B73" s="55" t="s">
        <v>129</v>
      </c>
      <c r="C73" s="17" t="str">
        <f>VLOOKUP(A73,Uhikhinnad!$A$6:$F$156,2,FALSE)</f>
        <v>piirdeaed</v>
      </c>
      <c r="D73" s="17">
        <f>VLOOKUP(A73,Uhikhinnad!$A$6:$F$156,3,FALSE)</f>
        <v>0</v>
      </c>
      <c r="E73" s="18">
        <f>VLOOKUP(A73,Uhikhinnad!$A$6:$F$156,4,FALSE)</f>
        <v>0</v>
      </c>
      <c r="F73" s="19">
        <v>0</v>
      </c>
      <c r="G73" s="18">
        <f>VLOOKUP(A73,Uhikhinnad!$A$6:$F$156,5,FALSE)</f>
        <v>0</v>
      </c>
      <c r="H73" s="18">
        <f>VLOOKUP(A73,Uhikhinnad!$A$6:$F$156,6,FALSE)</f>
        <v>0</v>
      </c>
      <c r="I73" s="35">
        <f t="shared" si="1"/>
        <v>0</v>
      </c>
      <c r="J73" s="49"/>
      <c r="L73" s="93"/>
      <c r="M73" s="93"/>
      <c r="N73" s="93"/>
    </row>
    <row r="74" spans="1:14" s="44" customFormat="1" ht="11.25">
      <c r="A74" s="52" t="s">
        <v>256</v>
      </c>
      <c r="B74" s="55" t="s">
        <v>129</v>
      </c>
      <c r="C74" s="17" t="str">
        <f>VLOOKUP(A74,Uhikhinnad!$A$6:$F$156,2,FALSE)</f>
        <v>tsingitud võrkpaneelidest aed</v>
      </c>
      <c r="D74" s="17" t="str">
        <f>VLOOKUP(A74,Uhikhinnad!$A$6:$F$156,3,FALSE)</f>
        <v>h=1,73m, aed koos väravaga</v>
      </c>
      <c r="E74" s="18" t="str">
        <f>VLOOKUP(A74,Uhikhinnad!$A$6:$F$156,4,FALSE)</f>
        <v>m</v>
      </c>
      <c r="F74" s="19">
        <v>0</v>
      </c>
      <c r="G74" s="18">
        <f>VLOOKUP(A74,Uhikhinnad!$A$6:$F$156,5,FALSE)</f>
        <v>45</v>
      </c>
      <c r="H74" s="18">
        <f>VLOOKUP(A74,Uhikhinnad!$A$6:$F$156,6,FALSE)</f>
        <v>0</v>
      </c>
      <c r="I74" s="35">
        <f t="shared" si="1"/>
        <v>0</v>
      </c>
      <c r="J74" s="49"/>
      <c r="L74" s="93"/>
      <c r="M74" s="93"/>
      <c r="N74" s="93"/>
    </row>
    <row r="75" spans="1:14" s="44" customFormat="1" ht="11.25">
      <c r="A75" s="52" t="s">
        <v>257</v>
      </c>
      <c r="B75" s="55" t="s">
        <v>129</v>
      </c>
      <c r="C75" s="17" t="str">
        <f>VLOOKUP(A75,Uhikhinnad!$A$6:$F$156,2,FALSE)</f>
        <v>piirdeaed</v>
      </c>
      <c r="D75" s="17">
        <f>VLOOKUP(A75,Uhikhinnad!$A$6:$F$156,3,FALSE)</f>
        <v>0</v>
      </c>
      <c r="E75" s="18" t="str">
        <f>VLOOKUP(A75,Uhikhinnad!$A$6:$F$156,4,FALSE)</f>
        <v>m</v>
      </c>
      <c r="F75" s="19">
        <v>0</v>
      </c>
      <c r="G75" s="18">
        <f>VLOOKUP(A75,Uhikhinnad!$A$6:$F$156,5,FALSE)</f>
        <v>0</v>
      </c>
      <c r="H75" s="18">
        <f>VLOOKUP(A75,Uhikhinnad!$A$6:$F$156,6,FALSE)</f>
        <v>0</v>
      </c>
      <c r="I75" s="35">
        <f t="shared" si="1"/>
        <v>0</v>
      </c>
      <c r="J75" s="49"/>
      <c r="L75" s="93"/>
      <c r="M75" s="93"/>
      <c r="N75" s="93"/>
    </row>
    <row r="76" spans="1:14" s="44" customFormat="1" ht="11.25">
      <c r="A76" s="52">
        <v>605</v>
      </c>
      <c r="B76" s="55" t="s">
        <v>129</v>
      </c>
      <c r="C76" s="17" t="str">
        <f>VLOOKUP(A76,Uhikhinnad!$A$6:$F$156,2,FALSE)</f>
        <v>läbiviik jõe, maantee või raudtee alt</v>
      </c>
      <c r="D76" s="17" t="str">
        <f>VLOOKUP(A76,Uhikhinnad!$A$6:$F$156,3,FALSE)</f>
        <v>Toru ja hülss</v>
      </c>
      <c r="E76" s="18" t="str">
        <f>VLOOKUP(A76,Uhikhinnad!$A$6:$F$156,4,FALSE)</f>
        <v>tk</v>
      </c>
      <c r="F76" s="19">
        <v>0</v>
      </c>
      <c r="G76" s="18">
        <f>VLOOKUP(A76,Uhikhinnad!$A$6:$F$156,5,FALSE)</f>
        <v>14000</v>
      </c>
      <c r="H76" s="18">
        <f>VLOOKUP(A76,Uhikhinnad!$A$6:$F$156,6,FALSE)</f>
        <v>0</v>
      </c>
      <c r="I76" s="35">
        <f t="shared" si="1"/>
        <v>0</v>
      </c>
      <c r="J76" s="49"/>
      <c r="L76" s="93"/>
      <c r="M76" s="93"/>
      <c r="N76" s="93"/>
    </row>
    <row r="77" spans="1:14" ht="11.25">
      <c r="A77" s="7"/>
      <c r="B77" s="8"/>
      <c r="C77" s="50"/>
      <c r="J77" s="49"/>
      <c r="K77" s="51"/>
      <c r="L77" s="51"/>
      <c r="M77" s="51"/>
      <c r="N77" s="51"/>
    </row>
    <row r="78" spans="1:14" ht="11.25">
      <c r="A78" s="7"/>
      <c r="B78" s="8"/>
      <c r="C78" s="13" t="s">
        <v>271</v>
      </c>
      <c r="J78" s="49"/>
      <c r="K78" s="51"/>
      <c r="L78" s="51"/>
      <c r="M78" s="51"/>
      <c r="N78" s="51"/>
    </row>
    <row r="79" spans="1:14" ht="11.25">
      <c r="A79" s="7"/>
      <c r="B79" s="8"/>
      <c r="C79" s="94" t="s">
        <v>91</v>
      </c>
      <c r="I79" s="62">
        <f>SUM(I80:I112)</f>
        <v>0</v>
      </c>
      <c r="J79" s="49"/>
      <c r="L79" s="51"/>
      <c r="M79" s="51"/>
      <c r="N79" s="51"/>
    </row>
    <row r="80" spans="1:14" s="44" customFormat="1" ht="11.25">
      <c r="A80" s="52">
        <v>101</v>
      </c>
      <c r="B80" s="55" t="s">
        <v>130</v>
      </c>
      <c r="C80" s="17" t="str">
        <f>VLOOKUP(A80,Uhikhinnad!$A$6:$F$156,2,FALSE)</f>
        <v>puurkaevu puurimine</v>
      </c>
      <c r="D80" s="17">
        <f>VLOOKUP(A80,Uhikhinnad!$A$6:$F$156,3,FALSE)</f>
        <v>0</v>
      </c>
      <c r="E80" s="18" t="str">
        <f>VLOOKUP(A80,Uhikhinnad!$A$6:$F$156,4,FALSE)</f>
        <v>m</v>
      </c>
      <c r="F80" s="19">
        <v>0</v>
      </c>
      <c r="G80" s="18">
        <f>VLOOKUP(A80,Uhikhinnad!$A$6:$F$156,5,FALSE)</f>
        <v>220</v>
      </c>
      <c r="H80" s="18">
        <f>VLOOKUP(A80,Uhikhinnad!$A$6:$F$156,6,FALSE)</f>
        <v>0</v>
      </c>
      <c r="I80" s="35">
        <f>F80*G80+H80</f>
        <v>0</v>
      </c>
      <c r="J80" s="49"/>
      <c r="L80" s="93"/>
      <c r="M80" s="93"/>
      <c r="N80" s="93"/>
    </row>
    <row r="81" spans="1:14" s="44" customFormat="1" ht="11.25">
      <c r="A81" s="52">
        <v>102</v>
      </c>
      <c r="B81" s="55" t="s">
        <v>130</v>
      </c>
      <c r="C81" s="17" t="str">
        <f>VLOOKUP(A81,Uhikhinnad!$A$6:$F$156,2,FALSE)</f>
        <v>puuraugu tamponeerimine</v>
      </c>
      <c r="D81" s="17">
        <f>VLOOKUP(A81,Uhikhinnad!$A$6:$F$156,3,FALSE)</f>
        <v>0</v>
      </c>
      <c r="E81" s="18" t="str">
        <f>VLOOKUP(A81,Uhikhinnad!$A$6:$F$156,4,FALSE)</f>
        <v>kmpl</v>
      </c>
      <c r="F81" s="19">
        <v>0</v>
      </c>
      <c r="G81" s="18">
        <f>VLOOKUP(A81,Uhikhinnad!$A$6:$F$156,5,FALSE)</f>
        <v>3800</v>
      </c>
      <c r="H81" s="18">
        <f>VLOOKUP(A81,Uhikhinnad!$A$6:$F$156,6,FALSE)</f>
        <v>0</v>
      </c>
      <c r="I81" s="35">
        <f aca="true" t="shared" si="2" ref="I81:I112">F81*G81+H81</f>
        <v>0</v>
      </c>
      <c r="J81" s="49"/>
      <c r="L81" s="93"/>
      <c r="M81" s="93"/>
      <c r="N81" s="93"/>
    </row>
    <row r="82" spans="1:14" s="44" customFormat="1" ht="11.25">
      <c r="A82" s="52">
        <v>104</v>
      </c>
      <c r="B82" s="55" t="s">
        <v>130</v>
      </c>
      <c r="C82" s="17" t="str">
        <f>VLOOKUP(A82,Uhikhinnad!$A$6:$F$156,2,FALSE)</f>
        <v>üheastmelise pumpla tehnoloogia</v>
      </c>
      <c r="D82" s="17">
        <f>VLOOKUP(A82,Uhikhinnad!$A$6:$F$156,3,FALSE)</f>
        <v>0</v>
      </c>
      <c r="E82" s="18" t="str">
        <f>VLOOKUP(A82,Uhikhinnad!$A$6:$F$156,4,FALSE)</f>
        <v>kmpl</v>
      </c>
      <c r="F82" s="19">
        <v>0</v>
      </c>
      <c r="G82" s="18">
        <f>VLOOKUP(A82,Uhikhinnad!$A$6:$F$156,5,FALSE)</f>
        <v>31800</v>
      </c>
      <c r="H82" s="18">
        <f>VLOOKUP(A82,Uhikhinnad!$A$6:$F$156,6,FALSE)</f>
        <v>0</v>
      </c>
      <c r="I82" s="35">
        <f t="shared" si="2"/>
        <v>0</v>
      </c>
      <c r="J82" s="49"/>
      <c r="L82" s="93"/>
      <c r="M82" s="93"/>
      <c r="N82" s="93"/>
    </row>
    <row r="83" spans="1:14" s="44" customFormat="1" ht="11.25">
      <c r="A83" s="52">
        <v>105</v>
      </c>
      <c r="B83" s="55" t="s">
        <v>130</v>
      </c>
      <c r="C83" s="17" t="str">
        <f>VLOOKUP(A83,Uhikhinnad!$A$6:$F$156,2,FALSE)</f>
        <v>veetöötlus</v>
      </c>
      <c r="D83" s="17">
        <f>VLOOKUP(A83,Uhikhinnad!$A$6:$F$156,3,FALSE)</f>
        <v>0</v>
      </c>
      <c r="E83" s="18">
        <f>VLOOKUP(A83,Uhikhinnad!$A$6:$F$156,4,FALSE)</f>
        <v>0</v>
      </c>
      <c r="F83" s="19">
        <v>0</v>
      </c>
      <c r="G83" s="18">
        <f>VLOOKUP(A83,Uhikhinnad!$A$6:$F$156,5,FALSE)</f>
        <v>0</v>
      </c>
      <c r="H83" s="18">
        <f>VLOOKUP(A83,Uhikhinnad!$A$6:$F$156,6,FALSE)</f>
        <v>0</v>
      </c>
      <c r="I83" s="35">
        <f t="shared" si="2"/>
        <v>0</v>
      </c>
      <c r="J83" s="49"/>
      <c r="L83" s="93"/>
      <c r="M83" s="93"/>
      <c r="N83" s="93"/>
    </row>
    <row r="84" spans="1:14" s="44" customFormat="1" ht="11.25">
      <c r="A84" s="52" t="s">
        <v>138</v>
      </c>
      <c r="B84" s="55" t="s">
        <v>130</v>
      </c>
      <c r="C84" s="17" t="str">
        <f>VLOOKUP(A84,Uhikhinnad!$A$6:$F$156,2,FALSE)</f>
        <v>veetöötlus</v>
      </c>
      <c r="D84" s="17" t="str">
        <f>VLOOKUP(A84,Uhikhinnad!$A$6:$F$156,3,FALSE)</f>
        <v>(raud)</v>
      </c>
      <c r="E84" s="18" t="str">
        <f>VLOOKUP(A84,Uhikhinnad!$A$6:$F$156,4,FALSE)</f>
        <v>m3/h</v>
      </c>
      <c r="F84" s="19">
        <v>0</v>
      </c>
      <c r="G84" s="18">
        <f>VLOOKUP(A84,Uhikhinnad!$A$6:$F$156,5,FALSE)</f>
        <v>1200</v>
      </c>
      <c r="H84" s="18">
        <f>VLOOKUP(A84,Uhikhinnad!$A$6:$F$156,6,FALSE)</f>
        <v>0</v>
      </c>
      <c r="I84" s="35">
        <f t="shared" si="2"/>
        <v>0</v>
      </c>
      <c r="J84" s="49"/>
      <c r="L84" s="93"/>
      <c r="M84" s="93"/>
      <c r="N84" s="93"/>
    </row>
    <row r="85" spans="1:14" s="44" customFormat="1" ht="11.25">
      <c r="A85" s="52" t="s">
        <v>139</v>
      </c>
      <c r="B85" s="55" t="s">
        <v>130</v>
      </c>
      <c r="C85" s="17" t="str">
        <f>VLOOKUP(A85,Uhikhinnad!$A$6:$F$156,2,FALSE)</f>
        <v>veetöötlus</v>
      </c>
      <c r="D85" s="17" t="str">
        <f>VLOOKUP(A85,Uhikhinnad!$A$6:$F$156,3,FALSE)</f>
        <v>(raud+mangaan)</v>
      </c>
      <c r="E85" s="18" t="str">
        <f>VLOOKUP(A85,Uhikhinnad!$A$6:$F$156,4,FALSE)</f>
        <v>m3/h</v>
      </c>
      <c r="F85" s="19">
        <v>0</v>
      </c>
      <c r="G85" s="18">
        <f>VLOOKUP(A85,Uhikhinnad!$A$6:$F$156,5,FALSE)</f>
        <v>1700</v>
      </c>
      <c r="H85" s="18">
        <f>VLOOKUP(A85,Uhikhinnad!$A$6:$F$156,6,FALSE)</f>
        <v>0</v>
      </c>
      <c r="I85" s="35">
        <f t="shared" si="2"/>
        <v>0</v>
      </c>
      <c r="J85" s="49"/>
      <c r="L85" s="93"/>
      <c r="M85" s="93"/>
      <c r="N85" s="93"/>
    </row>
    <row r="86" spans="1:14" s="44" customFormat="1" ht="11.25">
      <c r="A86" s="52" t="s">
        <v>140</v>
      </c>
      <c r="B86" s="55" t="s">
        <v>130</v>
      </c>
      <c r="C86" s="17" t="str">
        <f>VLOOKUP(A86,Uhikhinnad!$A$6:$F$156,2,FALSE)</f>
        <v>veetöötlus </v>
      </c>
      <c r="D86" s="17" t="str">
        <f>VLOOKUP(A86,Uhikhinnad!$A$6:$F$156,3,FALSE)</f>
        <v>(raud+mangaan+ammoonium)</v>
      </c>
      <c r="E86" s="18" t="str">
        <f>VLOOKUP(A86,Uhikhinnad!$A$6:$F$156,4,FALSE)</f>
        <v>m3/h</v>
      </c>
      <c r="F86" s="19">
        <v>0</v>
      </c>
      <c r="G86" s="18">
        <f>VLOOKUP(A86,Uhikhinnad!$A$6:$F$156,5,FALSE)</f>
        <v>1750</v>
      </c>
      <c r="H86" s="18">
        <f>VLOOKUP(A86,Uhikhinnad!$A$6:$F$156,6,FALSE)</f>
        <v>0</v>
      </c>
      <c r="I86" s="35">
        <f t="shared" si="2"/>
        <v>0</v>
      </c>
      <c r="J86" s="49"/>
      <c r="L86" s="93"/>
      <c r="M86" s="93"/>
      <c r="N86" s="93"/>
    </row>
    <row r="87" spans="1:14" s="44" customFormat="1" ht="11.25">
      <c r="A87" s="52" t="s">
        <v>141</v>
      </c>
      <c r="B87" s="55" t="s">
        <v>130</v>
      </c>
      <c r="C87" s="17" t="str">
        <f>VLOOKUP(A87,Uhikhinnad!$A$6:$F$156,2,FALSE)</f>
        <v>veetöötlus </v>
      </c>
      <c r="D87" s="17" t="str">
        <f>VLOOKUP(A87,Uhikhinnad!$A$6:$F$156,3,FALSE)</f>
        <v>(raud+mangaan+efektiivdoos)</v>
      </c>
      <c r="E87" s="18" t="str">
        <f>VLOOKUP(A87,Uhikhinnad!$A$6:$F$156,4,FALSE)</f>
        <v>m3/h</v>
      </c>
      <c r="F87" s="19">
        <v>0</v>
      </c>
      <c r="G87" s="18">
        <f>VLOOKUP(A87,Uhikhinnad!$A$6:$F$156,5,FALSE)</f>
        <v>1800</v>
      </c>
      <c r="H87" s="18">
        <f>VLOOKUP(A87,Uhikhinnad!$A$6:$F$156,6,FALSE)</f>
        <v>0</v>
      </c>
      <c r="I87" s="35">
        <f t="shared" si="2"/>
        <v>0</v>
      </c>
      <c r="J87" s="49"/>
      <c r="L87" s="93"/>
      <c r="M87" s="93"/>
      <c r="N87" s="93"/>
    </row>
    <row r="88" spans="1:14" s="44" customFormat="1" ht="11.25">
      <c r="A88" s="52">
        <v>106</v>
      </c>
      <c r="B88" s="55" t="s">
        <v>130</v>
      </c>
      <c r="C88" s="17" t="str">
        <f>VLOOKUP(A88,Uhikhinnad!$A$6:$F$156,2,FALSE)</f>
        <v>teise astme pumpla tehnoloogia </v>
      </c>
      <c r="D88" s="17">
        <f>VLOOKUP(A88,Uhikhinnad!$A$6:$F$156,3,FALSE)</f>
        <v>0</v>
      </c>
      <c r="E88" s="18">
        <f>VLOOKUP(A88,Uhikhinnad!$A$6:$F$156,4,FALSE)</f>
        <v>0</v>
      </c>
      <c r="F88" s="19">
        <v>0</v>
      </c>
      <c r="G88" s="18">
        <f>VLOOKUP(A88,Uhikhinnad!$A$6:$F$156,5,FALSE)</f>
        <v>0</v>
      </c>
      <c r="H88" s="18">
        <f>VLOOKUP(A88,Uhikhinnad!$A$6:$F$156,6,FALSE)</f>
        <v>0</v>
      </c>
      <c r="I88" s="35">
        <f t="shared" si="2"/>
        <v>0</v>
      </c>
      <c r="J88" s="49"/>
      <c r="L88" s="93"/>
      <c r="M88" s="93"/>
      <c r="N88" s="93"/>
    </row>
    <row r="89" spans="1:14" s="44" customFormat="1" ht="11.25">
      <c r="A89" s="52" t="s">
        <v>10</v>
      </c>
      <c r="B89" s="55" t="s">
        <v>130</v>
      </c>
      <c r="C89" s="17" t="str">
        <f>VLOOKUP(A89,Uhikhinnad!$A$6:$F$156,2,FALSE)</f>
        <v>teise astme pumpla tehnoloogia </v>
      </c>
      <c r="D89" s="17" t="str">
        <f>VLOOKUP(A89,Uhikhinnad!$A$6:$F$156,3,FALSE)</f>
        <v>(&lt;20 m3/h)</v>
      </c>
      <c r="E89" s="18" t="str">
        <f>VLOOKUP(A89,Uhikhinnad!$A$6:$F$156,4,FALSE)</f>
        <v>kmpl</v>
      </c>
      <c r="F89" s="19">
        <v>0</v>
      </c>
      <c r="G89" s="18">
        <f>VLOOKUP(A89,Uhikhinnad!$A$6:$F$156,5,FALSE)</f>
        <v>28000</v>
      </c>
      <c r="H89" s="18">
        <f>VLOOKUP(A89,Uhikhinnad!$A$6:$F$156,6,FALSE)</f>
        <v>0</v>
      </c>
      <c r="I89" s="35">
        <f t="shared" si="2"/>
        <v>0</v>
      </c>
      <c r="J89" s="49"/>
      <c r="L89" s="93"/>
      <c r="M89" s="93"/>
      <c r="N89" s="93"/>
    </row>
    <row r="90" spans="1:14" s="44" customFormat="1" ht="11.25">
      <c r="A90" s="52" t="s">
        <v>135</v>
      </c>
      <c r="B90" s="55" t="s">
        <v>130</v>
      </c>
      <c r="C90" s="17" t="str">
        <f>VLOOKUP(A90,Uhikhinnad!$A$6:$F$156,2,FALSE)</f>
        <v>teise astme pumpla tehnoloogia </v>
      </c>
      <c r="D90" s="17" t="str">
        <f>VLOOKUP(A90,Uhikhinnad!$A$6:$F$156,3,FALSE)</f>
        <v>(20-40 m3/h)</v>
      </c>
      <c r="E90" s="18" t="str">
        <f>VLOOKUP(A90,Uhikhinnad!$A$6:$F$156,4,FALSE)</f>
        <v>kmpl</v>
      </c>
      <c r="F90" s="19">
        <v>0</v>
      </c>
      <c r="G90" s="18">
        <f>VLOOKUP(A90,Uhikhinnad!$A$6:$F$156,5,FALSE)</f>
        <v>74400</v>
      </c>
      <c r="H90" s="18">
        <f>VLOOKUP(A90,Uhikhinnad!$A$6:$F$156,6,FALSE)</f>
        <v>0</v>
      </c>
      <c r="I90" s="35">
        <f t="shared" si="2"/>
        <v>0</v>
      </c>
      <c r="J90" s="49"/>
      <c r="L90" s="93"/>
      <c r="M90" s="93"/>
      <c r="N90" s="93"/>
    </row>
    <row r="91" spans="1:14" s="44" customFormat="1" ht="11.25">
      <c r="A91" s="52" t="s">
        <v>136</v>
      </c>
      <c r="B91" s="55" t="s">
        <v>130</v>
      </c>
      <c r="C91" s="17" t="str">
        <f>VLOOKUP(A91,Uhikhinnad!$A$6:$F$156,2,FALSE)</f>
        <v>teise astme pumpla tehnoloogia </v>
      </c>
      <c r="D91" s="17" t="str">
        <f>VLOOKUP(A91,Uhikhinnad!$A$6:$F$156,3,FALSE)</f>
        <v>(&gt;40 m3/h)</v>
      </c>
      <c r="E91" s="18" t="str">
        <f>VLOOKUP(A91,Uhikhinnad!$A$6:$F$156,4,FALSE)</f>
        <v>kmpl</v>
      </c>
      <c r="F91" s="19">
        <v>0</v>
      </c>
      <c r="G91" s="18">
        <f>VLOOKUP(A91,Uhikhinnad!$A$6:$F$156,5,FALSE)</f>
        <v>112000</v>
      </c>
      <c r="H91" s="18">
        <f>VLOOKUP(A91,Uhikhinnad!$A$6:$F$156,6,FALSE)</f>
        <v>0</v>
      </c>
      <c r="I91" s="35">
        <f t="shared" si="2"/>
        <v>0</v>
      </c>
      <c r="J91" s="49"/>
      <c r="K91" s="45"/>
      <c r="L91" s="93"/>
      <c r="M91" s="93"/>
      <c r="N91" s="93"/>
    </row>
    <row r="92" spans="1:14" s="44" customFormat="1" ht="11.25">
      <c r="A92" s="52">
        <v>107</v>
      </c>
      <c r="B92" s="55" t="s">
        <v>130</v>
      </c>
      <c r="C92" s="17" t="str">
        <f>VLOOKUP(A92,Uhikhinnad!$A$6:$F$156,2,FALSE)</f>
        <v>reservuaari rajamine</v>
      </c>
      <c r="D92" s="17">
        <f>VLOOKUP(A92,Uhikhinnad!$A$6:$F$156,3,FALSE)</f>
        <v>0</v>
      </c>
      <c r="E92" s="18">
        <f>VLOOKUP(A92,Uhikhinnad!$A$6:$F$156,4,FALSE)</f>
        <v>0</v>
      </c>
      <c r="F92" s="19">
        <v>0</v>
      </c>
      <c r="G92" s="18">
        <f>VLOOKUP(A92,Uhikhinnad!$A$6:$F$156,5,FALSE)</f>
        <v>0</v>
      </c>
      <c r="H92" s="18">
        <f>VLOOKUP(A92,Uhikhinnad!$A$6:$F$156,6,FALSE)</f>
        <v>0</v>
      </c>
      <c r="I92" s="35">
        <f t="shared" si="2"/>
        <v>0</v>
      </c>
      <c r="J92" s="49"/>
      <c r="L92" s="93"/>
      <c r="M92" s="93"/>
      <c r="N92" s="93"/>
    </row>
    <row r="93" spans="1:14" s="44" customFormat="1" ht="11.25">
      <c r="A93" s="52" t="s">
        <v>142</v>
      </c>
      <c r="B93" s="55" t="s">
        <v>130</v>
      </c>
      <c r="C93" s="17" t="str">
        <f>VLOOKUP(A93,Uhikhinnad!$A$6:$F$156,2,FALSE)</f>
        <v>reservuaari rajamine</v>
      </c>
      <c r="D93" s="17" t="str">
        <f>VLOOKUP(A93,Uhikhinnad!$A$6:$F$156,3,FALSE)</f>
        <v>plast (50 - 200 m3)</v>
      </c>
      <c r="E93" s="18" t="str">
        <f>VLOOKUP(A93,Uhikhinnad!$A$6:$F$156,4,FALSE)</f>
        <v>m3</v>
      </c>
      <c r="F93" s="19">
        <v>0</v>
      </c>
      <c r="G93" s="18">
        <f>VLOOKUP(A93,Uhikhinnad!$A$6:$F$156,5,FALSE)</f>
        <v>0</v>
      </c>
      <c r="H93" s="18">
        <f>VLOOKUP(A93,Uhikhinnad!$A$6:$F$156,6,FALSE)</f>
        <v>0</v>
      </c>
      <c r="I93" s="35">
        <f t="shared" si="2"/>
        <v>0</v>
      </c>
      <c r="J93" s="49"/>
      <c r="L93" s="93"/>
      <c r="M93" s="93"/>
      <c r="N93" s="93"/>
    </row>
    <row r="94" spans="1:14" s="44" customFormat="1" ht="11.25">
      <c r="A94" s="52" t="s">
        <v>143</v>
      </c>
      <c r="B94" s="55" t="s">
        <v>130</v>
      </c>
      <c r="C94" s="17" t="str">
        <f>VLOOKUP(A94,Uhikhinnad!$A$6:$F$156,2,FALSE)</f>
        <v>reservuaari rajamine</v>
      </c>
      <c r="D94" s="17" t="str">
        <f>VLOOKUP(A94,Uhikhinnad!$A$6:$F$156,3,FALSE)</f>
        <v>plast (201 + m3)</v>
      </c>
      <c r="E94" s="18" t="str">
        <f>VLOOKUP(A94,Uhikhinnad!$A$6:$F$156,4,FALSE)</f>
        <v>m3</v>
      </c>
      <c r="F94" s="19">
        <v>0</v>
      </c>
      <c r="G94" s="18">
        <f>VLOOKUP(A94,Uhikhinnad!$A$6:$F$156,5,FALSE)</f>
        <v>0</v>
      </c>
      <c r="H94" s="18">
        <f>VLOOKUP(A94,Uhikhinnad!$A$6:$F$156,6,FALSE)</f>
        <v>0</v>
      </c>
      <c r="I94" s="35">
        <f t="shared" si="2"/>
        <v>0</v>
      </c>
      <c r="J94" s="49"/>
      <c r="L94" s="93"/>
      <c r="M94" s="93"/>
      <c r="N94" s="93"/>
    </row>
    <row r="95" spans="1:14" s="44" customFormat="1" ht="11.25">
      <c r="A95" s="52" t="s">
        <v>144</v>
      </c>
      <c r="B95" s="55" t="s">
        <v>130</v>
      </c>
      <c r="C95" s="17" t="str">
        <f>VLOOKUP(A95,Uhikhinnad!$A$6:$F$156,2,FALSE)</f>
        <v>reservuaari rajamine</v>
      </c>
      <c r="D95" s="17" t="str">
        <f>VLOOKUP(A95,Uhikhinnad!$A$6:$F$156,3,FALSE)</f>
        <v>betoon (50 - 200 m3)</v>
      </c>
      <c r="E95" s="18" t="str">
        <f>VLOOKUP(A95,Uhikhinnad!$A$6:$F$156,4,FALSE)</f>
        <v>m3</v>
      </c>
      <c r="F95" s="19">
        <v>0</v>
      </c>
      <c r="G95" s="18">
        <f>VLOOKUP(A95,Uhikhinnad!$A$6:$F$156,5,FALSE)</f>
        <v>570</v>
      </c>
      <c r="H95" s="18">
        <f>VLOOKUP(A95,Uhikhinnad!$A$6:$F$156,6,FALSE)</f>
        <v>0</v>
      </c>
      <c r="I95" s="35">
        <f t="shared" si="2"/>
        <v>0</v>
      </c>
      <c r="J95" s="49"/>
      <c r="L95" s="93"/>
      <c r="M95" s="93"/>
      <c r="N95" s="93"/>
    </row>
    <row r="96" spans="1:14" s="44" customFormat="1" ht="11.25">
      <c r="A96" s="52" t="s">
        <v>202</v>
      </c>
      <c r="B96" s="55" t="s">
        <v>130</v>
      </c>
      <c r="C96" s="17" t="str">
        <f>VLOOKUP(A96,Uhikhinnad!$A$6:$F$156,2,FALSE)</f>
        <v>reservuaari rajamine</v>
      </c>
      <c r="D96" s="17" t="str">
        <f>VLOOKUP(A96,Uhikhinnad!$A$6:$F$156,3,FALSE)</f>
        <v>betoon (201 + m3)</v>
      </c>
      <c r="E96" s="18" t="str">
        <f>VLOOKUP(A96,Uhikhinnad!$A$6:$F$156,4,FALSE)</f>
        <v>m3</v>
      </c>
      <c r="F96" s="19">
        <v>0</v>
      </c>
      <c r="G96" s="18">
        <f>VLOOKUP(A96,Uhikhinnad!$A$6:$F$156,5,FALSE)</f>
        <v>450</v>
      </c>
      <c r="H96" s="18">
        <f>VLOOKUP(A96,Uhikhinnad!$A$6:$F$156,6,FALSE)</f>
        <v>0</v>
      </c>
      <c r="I96" s="35">
        <f t="shared" si="2"/>
        <v>0</v>
      </c>
      <c r="J96" s="49"/>
      <c r="L96" s="93"/>
      <c r="M96" s="93"/>
      <c r="N96" s="93"/>
    </row>
    <row r="97" spans="1:14" s="44" customFormat="1" ht="11.25">
      <c r="A97" s="52">
        <v>108</v>
      </c>
      <c r="B97" s="55" t="s">
        <v>130</v>
      </c>
      <c r="C97" s="17" t="str">
        <f>VLOOKUP(A97,Uhikhinnad!$A$6:$F$156,2,FALSE)</f>
        <v>reservuaari rekonstrueerimine</v>
      </c>
      <c r="D97" s="17">
        <f>VLOOKUP(A97,Uhikhinnad!$A$6:$F$156,3,FALSE)</f>
        <v>0</v>
      </c>
      <c r="E97" s="18">
        <f>VLOOKUP(A97,Uhikhinnad!$A$6:$F$156,4,FALSE)</f>
        <v>0</v>
      </c>
      <c r="F97" s="19">
        <v>0</v>
      </c>
      <c r="G97" s="18">
        <f>VLOOKUP(A97,Uhikhinnad!$A$6:$F$156,5,FALSE)</f>
        <v>0</v>
      </c>
      <c r="H97" s="18">
        <f>VLOOKUP(A97,Uhikhinnad!$A$6:$F$156,6,FALSE)</f>
        <v>0</v>
      </c>
      <c r="I97" s="35">
        <f t="shared" si="2"/>
        <v>0</v>
      </c>
      <c r="J97" s="49"/>
      <c r="L97" s="93"/>
      <c r="M97" s="93"/>
      <c r="N97" s="93"/>
    </row>
    <row r="98" spans="1:14" s="44" customFormat="1" ht="11.25">
      <c r="A98" s="52" t="s">
        <v>60</v>
      </c>
      <c r="B98" s="55" t="s">
        <v>130</v>
      </c>
      <c r="C98" s="17" t="str">
        <f>VLOOKUP(A98,Uhikhinnad!$A$6:$F$156,2,FALSE)</f>
        <v>reservuaari rekonstrueerimine</v>
      </c>
      <c r="D98" s="17" t="str">
        <f>VLOOKUP(A98,Uhikhinnad!$A$6:$F$156,3,FALSE)</f>
        <v>(50-200 m3)</v>
      </c>
      <c r="E98" s="18" t="str">
        <f>VLOOKUP(A98,Uhikhinnad!$A$6:$F$156,4,FALSE)</f>
        <v>m3</v>
      </c>
      <c r="F98" s="19">
        <v>0</v>
      </c>
      <c r="G98" s="18">
        <f>VLOOKUP(A98,Uhikhinnad!$A$6:$F$156,5,FALSE)</f>
        <v>250</v>
      </c>
      <c r="H98" s="18">
        <f>VLOOKUP(A98,Uhikhinnad!$A$6:$F$156,6,FALSE)</f>
        <v>0</v>
      </c>
      <c r="I98" s="35">
        <f t="shared" si="2"/>
        <v>0</v>
      </c>
      <c r="J98" s="49"/>
      <c r="L98" s="93"/>
      <c r="M98" s="93"/>
      <c r="N98" s="93"/>
    </row>
    <row r="99" spans="1:14" s="44" customFormat="1" ht="11.25">
      <c r="A99" s="52" t="s">
        <v>145</v>
      </c>
      <c r="B99" s="55" t="s">
        <v>130</v>
      </c>
      <c r="C99" s="17" t="str">
        <f>VLOOKUP(A99,Uhikhinnad!$A$6:$F$156,2,FALSE)</f>
        <v>reservuaari rekonstrueerimine</v>
      </c>
      <c r="D99" s="17" t="str">
        <f>VLOOKUP(A99,Uhikhinnad!$A$6:$F$156,3,FALSE)</f>
        <v>(201 + m3)</v>
      </c>
      <c r="E99" s="18" t="str">
        <f>VLOOKUP(A99,Uhikhinnad!$A$6:$F$156,4,FALSE)</f>
        <v>m3</v>
      </c>
      <c r="F99" s="19">
        <v>0</v>
      </c>
      <c r="G99" s="18">
        <f>VLOOKUP(A99,Uhikhinnad!$A$6:$F$156,5,FALSE)</f>
        <v>0</v>
      </c>
      <c r="H99" s="18">
        <f>VLOOKUP(A99,Uhikhinnad!$A$6:$F$156,6,FALSE)</f>
        <v>0</v>
      </c>
      <c r="I99" s="35">
        <f t="shared" si="2"/>
        <v>0</v>
      </c>
      <c r="J99" s="49"/>
      <c r="L99" s="93"/>
      <c r="M99" s="93"/>
      <c r="N99" s="93"/>
    </row>
    <row r="100" spans="1:14" s="44" customFormat="1" ht="11.25">
      <c r="A100" s="52" t="s">
        <v>65</v>
      </c>
      <c r="B100" s="55" t="s">
        <v>130</v>
      </c>
      <c r="C100" s="17" t="str">
        <f>VLOOKUP(A100,Uhikhinnad!$A$6:$F$156,2,FALSE)</f>
        <v>kaugjälgimise ja -juhtimise süsteem</v>
      </c>
      <c r="D100" s="17" t="str">
        <f>VLOOKUP(A100,Uhikhinnad!$A$6:$F$156,3,FALSE)</f>
        <v>(&lt;20 m3/h)</v>
      </c>
      <c r="E100" s="18" t="str">
        <f>VLOOKUP(A100,Uhikhinnad!$A$6:$F$156,4,FALSE)</f>
        <v>kmpl</v>
      </c>
      <c r="F100" s="19">
        <v>0</v>
      </c>
      <c r="G100" s="18">
        <f>VLOOKUP(A100,Uhikhinnad!$A$6:$F$156,5,FALSE)</f>
        <v>15000</v>
      </c>
      <c r="H100" s="18">
        <f>VLOOKUP(A100,Uhikhinnad!$A$6:$F$156,6,FALSE)</f>
        <v>0</v>
      </c>
      <c r="I100" s="35">
        <f t="shared" si="2"/>
        <v>0</v>
      </c>
      <c r="J100" s="49"/>
      <c r="L100" s="93"/>
      <c r="M100" s="93"/>
      <c r="N100" s="93"/>
    </row>
    <row r="101" spans="1:14" s="44" customFormat="1" ht="11.25">
      <c r="A101" s="52" t="s">
        <v>151</v>
      </c>
      <c r="B101" s="55" t="s">
        <v>130</v>
      </c>
      <c r="C101" s="17" t="str">
        <f>VLOOKUP(A101,Uhikhinnad!$A$6:$F$156,2,FALSE)</f>
        <v>kaugjälgimise ja -juhtimise süsteem</v>
      </c>
      <c r="D101" s="17" t="str">
        <f>VLOOKUP(A101,Uhikhinnad!$A$6:$F$156,3,FALSE)</f>
        <v>(&gt;20 m3/h)</v>
      </c>
      <c r="E101" s="18" t="str">
        <f>VLOOKUP(A101,Uhikhinnad!$A$6:$F$156,4,FALSE)</f>
        <v>kmpl</v>
      </c>
      <c r="F101" s="19">
        <v>0</v>
      </c>
      <c r="G101" s="18">
        <f>VLOOKUP(A101,Uhikhinnad!$A$6:$F$156,5,FALSE)</f>
        <v>50000</v>
      </c>
      <c r="H101" s="18">
        <f>VLOOKUP(A101,Uhikhinnad!$A$6:$F$156,6,FALSE)</f>
        <v>0</v>
      </c>
      <c r="I101" s="35">
        <f t="shared" si="2"/>
        <v>0</v>
      </c>
      <c r="J101" s="49"/>
      <c r="L101" s="93"/>
      <c r="M101" s="93"/>
      <c r="N101" s="93"/>
    </row>
    <row r="102" spans="1:14" s="44" customFormat="1" ht="11.25">
      <c r="A102" s="52">
        <v>601</v>
      </c>
      <c r="B102" s="55" t="s">
        <v>130</v>
      </c>
      <c r="C102" s="17" t="str">
        <f>VLOOKUP(A102,Uhikhinnad!$A$6:$F$156,2,FALSE)</f>
        <v>hoone rajamine</v>
      </c>
      <c r="D102" s="17">
        <f>VLOOKUP(A102,Uhikhinnad!$A$6:$F$156,3,FALSE)</f>
        <v>0</v>
      </c>
      <c r="E102" s="18" t="str">
        <f>VLOOKUP(A102,Uhikhinnad!$A$6:$F$156,4,FALSE)</f>
        <v>m2</v>
      </c>
      <c r="F102" s="19">
        <v>0</v>
      </c>
      <c r="G102" s="18">
        <f>VLOOKUP(A102,Uhikhinnad!$A$6:$F$156,5,FALSE)</f>
        <v>1023</v>
      </c>
      <c r="H102" s="18">
        <f>VLOOKUP(A102,Uhikhinnad!$A$6:$F$156,6,FALSE)</f>
        <v>0</v>
      </c>
      <c r="I102" s="35">
        <f t="shared" si="2"/>
        <v>0</v>
      </c>
      <c r="J102" s="49"/>
      <c r="L102" s="93"/>
      <c r="M102" s="93"/>
      <c r="N102" s="93"/>
    </row>
    <row r="103" spans="1:14" s="44" customFormat="1" ht="11.25">
      <c r="A103" s="52" t="s">
        <v>196</v>
      </c>
      <c r="B103" s="55" t="s">
        <v>130</v>
      </c>
      <c r="C103" s="17" t="str">
        <f>VLOOKUP(A103,Uhikhinnad!$A$6:$F$156,2,FALSE)</f>
        <v>hoone rajamine</v>
      </c>
      <c r="D103" s="17" t="str">
        <f>VLOOKUP(A103,Uhikhinnad!$A$6:$F$156,3,FALSE)</f>
        <v>väikeplokk</v>
      </c>
      <c r="E103" s="18" t="str">
        <f>VLOOKUP(A103,Uhikhinnad!$A$6:$F$156,4,FALSE)</f>
        <v>m2</v>
      </c>
      <c r="F103" s="19">
        <v>0</v>
      </c>
      <c r="G103" s="18">
        <f>VLOOKUP(A103,Uhikhinnad!$A$6:$F$156,5,FALSE)</f>
        <v>1023</v>
      </c>
      <c r="H103" s="18">
        <f>VLOOKUP(A103,Uhikhinnad!$A$6:$F$156,6,FALSE)</f>
        <v>0</v>
      </c>
      <c r="I103" s="35">
        <f t="shared" si="2"/>
        <v>0</v>
      </c>
      <c r="J103" s="49"/>
      <c r="L103" s="93"/>
      <c r="M103" s="93"/>
      <c r="N103" s="93"/>
    </row>
    <row r="104" spans="1:14" s="44" customFormat="1" ht="11.25">
      <c r="A104" s="52" t="s">
        <v>198</v>
      </c>
      <c r="B104" s="55" t="s">
        <v>130</v>
      </c>
      <c r="C104" s="17" t="str">
        <f>VLOOKUP(A104,Uhikhinnad!$A$6:$F$156,2,FALSE)</f>
        <v>hoone rajamine</v>
      </c>
      <c r="D104" s="17" t="str">
        <f>VLOOKUP(A104,Uhikhinnad!$A$6:$F$156,3,FALSE)</f>
        <v>fiboplokk</v>
      </c>
      <c r="E104" s="18" t="str">
        <f>VLOOKUP(A104,Uhikhinnad!$A$6:$F$156,4,FALSE)</f>
        <v>m2</v>
      </c>
      <c r="F104" s="19">
        <v>0</v>
      </c>
      <c r="G104" s="18">
        <f>VLOOKUP(A104,Uhikhinnad!$A$6:$F$156,5,FALSE)</f>
        <v>1023</v>
      </c>
      <c r="H104" s="18">
        <f>VLOOKUP(A104,Uhikhinnad!$A$6:$F$156,6,FALSE)</f>
        <v>0</v>
      </c>
      <c r="I104" s="35">
        <f t="shared" si="2"/>
        <v>0</v>
      </c>
      <c r="J104" s="49"/>
      <c r="L104" s="93"/>
      <c r="M104" s="93"/>
      <c r="N104" s="93"/>
    </row>
    <row r="105" spans="1:14" s="44" customFormat="1" ht="11.25">
      <c r="A105" s="52" t="s">
        <v>201</v>
      </c>
      <c r="B105" s="55" t="s">
        <v>130</v>
      </c>
      <c r="C105" s="17" t="str">
        <f>VLOOKUP(A105,Uhikhinnad!$A$6:$F$156,2,FALSE)</f>
        <v>hoone rajamine</v>
      </c>
      <c r="D105" s="17">
        <f>VLOOKUP(A105,Uhikhinnad!$A$6:$F$156,3,FALSE)</f>
        <v>0</v>
      </c>
      <c r="E105" s="18" t="str">
        <f>VLOOKUP(A105,Uhikhinnad!$A$6:$F$156,4,FALSE)</f>
        <v>m2</v>
      </c>
      <c r="F105" s="19">
        <v>0</v>
      </c>
      <c r="G105" s="18">
        <f>VLOOKUP(A105,Uhikhinnad!$A$6:$F$156,5,FALSE)</f>
        <v>0</v>
      </c>
      <c r="H105" s="18">
        <f>VLOOKUP(A105,Uhikhinnad!$A$6:$F$156,6,FALSE)</f>
        <v>0</v>
      </c>
      <c r="I105" s="35">
        <f t="shared" si="2"/>
        <v>0</v>
      </c>
      <c r="J105" s="49"/>
      <c r="L105" s="93"/>
      <c r="M105" s="93"/>
      <c r="N105" s="93"/>
    </row>
    <row r="106" spans="1:14" s="44" customFormat="1" ht="11.25">
      <c r="A106" s="52">
        <v>602</v>
      </c>
      <c r="B106" s="55" t="s">
        <v>130</v>
      </c>
      <c r="C106" s="17" t="str">
        <f>VLOOKUP(A106,Uhikhinnad!$A$6:$F$156,2,FALSE)</f>
        <v>hoone rekonstrueerimine</v>
      </c>
      <c r="D106" s="17">
        <f>VLOOKUP(A106,Uhikhinnad!$A$6:$F$156,3,FALSE)</f>
        <v>0</v>
      </c>
      <c r="E106" s="18" t="str">
        <f>VLOOKUP(A106,Uhikhinnad!$A$6:$F$156,4,FALSE)</f>
        <v>m2</v>
      </c>
      <c r="F106" s="19">
        <v>0</v>
      </c>
      <c r="G106" s="18">
        <f>VLOOKUP(A106,Uhikhinnad!$A$6:$F$156,5,FALSE)</f>
        <v>0</v>
      </c>
      <c r="H106" s="18">
        <f>VLOOKUP(A106,Uhikhinnad!$A$6:$F$156,6,FALSE)</f>
        <v>0</v>
      </c>
      <c r="I106" s="35">
        <f t="shared" si="2"/>
        <v>0</v>
      </c>
      <c r="J106" s="49"/>
      <c r="L106" s="93"/>
      <c r="M106" s="93"/>
      <c r="N106" s="93"/>
    </row>
    <row r="107" spans="1:14" s="44" customFormat="1" ht="11.25">
      <c r="A107" s="52" t="s">
        <v>197</v>
      </c>
      <c r="B107" s="55" t="s">
        <v>130</v>
      </c>
      <c r="C107" s="17" t="str">
        <f>VLOOKUP(A107,Uhikhinnad!$A$6:$F$156,2,FALSE)</f>
        <v>hoone rekonstrueerimine</v>
      </c>
      <c r="D107" s="17" t="str">
        <f>VLOOKUP(A107,Uhikhinnad!$A$6:$F$156,3,FALSE)</f>
        <v>väikeplokk</v>
      </c>
      <c r="E107" s="18" t="str">
        <f>VLOOKUP(A107,Uhikhinnad!$A$6:$F$156,4,FALSE)</f>
        <v>m2</v>
      </c>
      <c r="F107" s="19">
        <v>0</v>
      </c>
      <c r="G107" s="18">
        <f>VLOOKUP(A107,Uhikhinnad!$A$6:$F$156,5,FALSE)</f>
        <v>1000</v>
      </c>
      <c r="H107" s="18">
        <f>VLOOKUP(A107,Uhikhinnad!$A$6:$F$156,6,FALSE)</f>
        <v>0</v>
      </c>
      <c r="I107" s="35">
        <f t="shared" si="2"/>
        <v>0</v>
      </c>
      <c r="J107" s="49"/>
      <c r="L107" s="93"/>
      <c r="M107" s="93"/>
      <c r="N107" s="93"/>
    </row>
    <row r="108" spans="1:14" s="44" customFormat="1" ht="11.25">
      <c r="A108" s="52">
        <v>603</v>
      </c>
      <c r="B108" s="55" t="s">
        <v>130</v>
      </c>
      <c r="C108" s="17" t="str">
        <f>VLOOKUP(A108,Uhikhinnad!$A$6:$F$156,2,FALSE)</f>
        <v>hoone lammutamine</v>
      </c>
      <c r="D108" s="17">
        <f>VLOOKUP(A108,Uhikhinnad!$A$6:$F$156,3,FALSE)</f>
        <v>0</v>
      </c>
      <c r="E108" s="18" t="str">
        <f>VLOOKUP(A108,Uhikhinnad!$A$6:$F$156,4,FALSE)</f>
        <v>m2</v>
      </c>
      <c r="F108" s="19">
        <v>0</v>
      </c>
      <c r="G108" s="18">
        <f>VLOOKUP(A108,Uhikhinnad!$A$6:$F$156,5,FALSE)</f>
        <v>300</v>
      </c>
      <c r="H108" s="18">
        <f>VLOOKUP(A108,Uhikhinnad!$A$6:$F$156,6,FALSE)</f>
        <v>0</v>
      </c>
      <c r="I108" s="35">
        <f t="shared" si="2"/>
        <v>0</v>
      </c>
      <c r="J108" s="49"/>
      <c r="L108" s="93"/>
      <c r="M108" s="93"/>
      <c r="N108" s="93"/>
    </row>
    <row r="109" spans="1:14" s="44" customFormat="1" ht="11.25">
      <c r="A109" s="52">
        <v>604</v>
      </c>
      <c r="B109" s="55" t="s">
        <v>130</v>
      </c>
      <c r="C109" s="17" t="str">
        <f>VLOOKUP(A109,Uhikhinnad!$A$6:$F$156,2,FALSE)</f>
        <v>piirdeaed</v>
      </c>
      <c r="D109" s="17">
        <f>VLOOKUP(A109,Uhikhinnad!$A$6:$F$156,3,FALSE)</f>
        <v>0</v>
      </c>
      <c r="E109" s="18">
        <f>VLOOKUP(A109,Uhikhinnad!$A$6:$F$156,4,FALSE)</f>
        <v>0</v>
      </c>
      <c r="F109" s="19">
        <v>0</v>
      </c>
      <c r="G109" s="18">
        <f>VLOOKUP(A109,Uhikhinnad!$A$6:$F$156,5,FALSE)</f>
        <v>0</v>
      </c>
      <c r="H109" s="18">
        <f>VLOOKUP(A109,Uhikhinnad!$A$6:$F$156,6,FALSE)</f>
        <v>0</v>
      </c>
      <c r="I109" s="35">
        <f t="shared" si="2"/>
        <v>0</v>
      </c>
      <c r="J109" s="49"/>
      <c r="L109" s="93"/>
      <c r="M109" s="93"/>
      <c r="N109" s="93"/>
    </row>
    <row r="110" spans="1:14" s="44" customFormat="1" ht="11.25">
      <c r="A110" s="52" t="s">
        <v>256</v>
      </c>
      <c r="B110" s="55" t="s">
        <v>130</v>
      </c>
      <c r="C110" s="17" t="str">
        <f>VLOOKUP(A110,Uhikhinnad!$A$6:$F$156,2,FALSE)</f>
        <v>tsingitud võrkpaneelidest aed</v>
      </c>
      <c r="D110" s="17" t="str">
        <f>VLOOKUP(A110,Uhikhinnad!$A$6:$F$156,3,FALSE)</f>
        <v>h=1,73m, aed koos väravaga</v>
      </c>
      <c r="E110" s="18" t="str">
        <f>VLOOKUP(A110,Uhikhinnad!$A$6:$F$156,4,FALSE)</f>
        <v>m</v>
      </c>
      <c r="F110" s="19">
        <v>0</v>
      </c>
      <c r="G110" s="18">
        <f>VLOOKUP(A110,Uhikhinnad!$A$6:$F$156,5,FALSE)</f>
        <v>45</v>
      </c>
      <c r="H110" s="18">
        <f>VLOOKUP(A110,Uhikhinnad!$A$6:$F$156,6,FALSE)</f>
        <v>0</v>
      </c>
      <c r="I110" s="35">
        <f t="shared" si="2"/>
        <v>0</v>
      </c>
      <c r="J110" s="49"/>
      <c r="L110" s="93"/>
      <c r="M110" s="93"/>
      <c r="N110" s="93"/>
    </row>
    <row r="111" spans="1:14" s="44" customFormat="1" ht="11.25">
      <c r="A111" s="52" t="s">
        <v>257</v>
      </c>
      <c r="B111" s="55" t="s">
        <v>130</v>
      </c>
      <c r="C111" s="17" t="str">
        <f>VLOOKUP(A111,Uhikhinnad!$A$6:$F$156,2,FALSE)</f>
        <v>piirdeaed</v>
      </c>
      <c r="D111" s="17">
        <f>VLOOKUP(A111,Uhikhinnad!$A$6:$F$156,3,FALSE)</f>
        <v>0</v>
      </c>
      <c r="E111" s="18" t="str">
        <f>VLOOKUP(A111,Uhikhinnad!$A$6:$F$156,4,FALSE)</f>
        <v>m</v>
      </c>
      <c r="F111" s="19">
        <v>0</v>
      </c>
      <c r="G111" s="18">
        <f>VLOOKUP(A111,Uhikhinnad!$A$6:$F$156,5,FALSE)</f>
        <v>0</v>
      </c>
      <c r="H111" s="18">
        <f>VLOOKUP(A111,Uhikhinnad!$A$6:$F$156,6,FALSE)</f>
        <v>0</v>
      </c>
      <c r="I111" s="35">
        <f t="shared" si="2"/>
        <v>0</v>
      </c>
      <c r="J111" s="49"/>
      <c r="L111" s="93"/>
      <c r="M111" s="93"/>
      <c r="N111" s="93"/>
    </row>
    <row r="112" spans="1:14" s="44" customFormat="1" ht="11.25">
      <c r="A112" s="52">
        <v>605</v>
      </c>
      <c r="B112" s="55" t="s">
        <v>130</v>
      </c>
      <c r="C112" s="17" t="str">
        <f>VLOOKUP(A112,Uhikhinnad!$A$6:$F$156,2,FALSE)</f>
        <v>läbiviik jõe, maantee või raudtee alt</v>
      </c>
      <c r="D112" s="17" t="str">
        <f>VLOOKUP(A112,Uhikhinnad!$A$6:$F$156,3,FALSE)</f>
        <v>Toru ja hülss</v>
      </c>
      <c r="E112" s="18" t="str">
        <f>VLOOKUP(A112,Uhikhinnad!$A$6:$F$156,4,FALSE)</f>
        <v>tk</v>
      </c>
      <c r="F112" s="19">
        <v>0</v>
      </c>
      <c r="G112" s="18">
        <f>VLOOKUP(A112,Uhikhinnad!$A$6:$F$156,5,FALSE)</f>
        <v>14000</v>
      </c>
      <c r="H112" s="18">
        <f>VLOOKUP(A112,Uhikhinnad!$A$6:$F$156,6,FALSE)</f>
        <v>0</v>
      </c>
      <c r="I112" s="35">
        <f t="shared" si="2"/>
        <v>0</v>
      </c>
      <c r="J112" s="49"/>
      <c r="L112" s="93"/>
      <c r="M112" s="93"/>
      <c r="N112" s="93"/>
    </row>
    <row r="113" spans="1:14" ht="11.25">
      <c r="A113" s="52"/>
      <c r="B113" s="55"/>
      <c r="C113" s="17"/>
      <c r="D113" s="17"/>
      <c r="E113" s="18"/>
      <c r="F113" s="19"/>
      <c r="G113" s="18"/>
      <c r="H113" s="18"/>
      <c r="I113" s="35"/>
      <c r="J113" s="49"/>
      <c r="M113" s="51"/>
      <c r="N113" s="51"/>
    </row>
    <row r="114" spans="1:14" ht="11.25">
      <c r="A114" s="7"/>
      <c r="B114" s="8"/>
      <c r="C114" s="94" t="s">
        <v>92</v>
      </c>
      <c r="I114" s="62">
        <f>SUM(I115:I147)</f>
        <v>0</v>
      </c>
      <c r="J114" s="49"/>
      <c r="M114" s="51"/>
      <c r="N114" s="51"/>
    </row>
    <row r="115" spans="1:14" s="44" customFormat="1" ht="11.25">
      <c r="A115" s="52">
        <v>101</v>
      </c>
      <c r="B115" s="55" t="s">
        <v>129</v>
      </c>
      <c r="C115" s="17" t="str">
        <f>VLOOKUP(A115,Uhikhinnad!$A$6:$F$156,2,FALSE)</f>
        <v>puurkaevu puurimine</v>
      </c>
      <c r="D115" s="17">
        <f>VLOOKUP(A115,Uhikhinnad!$A$6:$F$156,3,FALSE)</f>
        <v>0</v>
      </c>
      <c r="E115" s="18" t="str">
        <f>VLOOKUP(A115,Uhikhinnad!$A$6:$F$156,4,FALSE)</f>
        <v>m</v>
      </c>
      <c r="F115" s="19">
        <v>0</v>
      </c>
      <c r="G115" s="18">
        <f>VLOOKUP(A115,Uhikhinnad!$A$6:$F$156,5,FALSE)</f>
        <v>220</v>
      </c>
      <c r="H115" s="18">
        <f>VLOOKUP(A115,Uhikhinnad!$A$6:$F$156,6,FALSE)</f>
        <v>0</v>
      </c>
      <c r="I115" s="35">
        <f>F115*G115+H115</f>
        <v>0</v>
      </c>
      <c r="J115" s="49"/>
      <c r="L115" s="93"/>
      <c r="M115" s="93"/>
      <c r="N115" s="93"/>
    </row>
    <row r="116" spans="1:14" s="44" customFormat="1" ht="11.25">
      <c r="A116" s="52">
        <v>102</v>
      </c>
      <c r="B116" s="55" t="s">
        <v>129</v>
      </c>
      <c r="C116" s="17" t="str">
        <f>VLOOKUP(A116,Uhikhinnad!$A$6:$F$156,2,FALSE)</f>
        <v>puuraugu tamponeerimine</v>
      </c>
      <c r="D116" s="17">
        <f>VLOOKUP(A116,Uhikhinnad!$A$6:$F$156,3,FALSE)</f>
        <v>0</v>
      </c>
      <c r="E116" s="18" t="str">
        <f>VLOOKUP(A116,Uhikhinnad!$A$6:$F$156,4,FALSE)</f>
        <v>kmpl</v>
      </c>
      <c r="F116" s="19">
        <v>0</v>
      </c>
      <c r="G116" s="18">
        <f>VLOOKUP(A116,Uhikhinnad!$A$6:$F$156,5,FALSE)</f>
        <v>3800</v>
      </c>
      <c r="H116" s="18">
        <f>VLOOKUP(A116,Uhikhinnad!$A$6:$F$156,6,FALSE)</f>
        <v>0</v>
      </c>
      <c r="I116" s="35">
        <f aca="true" t="shared" si="3" ref="I116:I136">F116*G116+H116</f>
        <v>0</v>
      </c>
      <c r="J116" s="49"/>
      <c r="L116" s="93"/>
      <c r="M116" s="93"/>
      <c r="N116" s="93"/>
    </row>
    <row r="117" spans="1:14" s="44" customFormat="1" ht="11.25">
      <c r="A117" s="52">
        <v>104</v>
      </c>
      <c r="B117" s="55" t="s">
        <v>129</v>
      </c>
      <c r="C117" s="17" t="str">
        <f>VLOOKUP(A117,Uhikhinnad!$A$6:$F$156,2,FALSE)</f>
        <v>üheastmelise pumpla tehnoloogia</v>
      </c>
      <c r="D117" s="17">
        <f>VLOOKUP(A117,Uhikhinnad!$A$6:$F$156,3,FALSE)</f>
        <v>0</v>
      </c>
      <c r="E117" s="18" t="str">
        <f>VLOOKUP(A117,Uhikhinnad!$A$6:$F$156,4,FALSE)</f>
        <v>kmpl</v>
      </c>
      <c r="F117" s="19">
        <v>0</v>
      </c>
      <c r="G117" s="18">
        <f>VLOOKUP(A117,Uhikhinnad!$A$6:$F$156,5,FALSE)</f>
        <v>31800</v>
      </c>
      <c r="H117" s="18">
        <f>VLOOKUP(A117,Uhikhinnad!$A$6:$F$156,6,FALSE)</f>
        <v>0</v>
      </c>
      <c r="I117" s="35">
        <f t="shared" si="3"/>
        <v>0</v>
      </c>
      <c r="J117" s="49"/>
      <c r="L117" s="93"/>
      <c r="M117" s="93"/>
      <c r="N117" s="93"/>
    </row>
    <row r="118" spans="1:14" s="44" customFormat="1" ht="11.25">
      <c r="A118" s="52">
        <v>105</v>
      </c>
      <c r="B118" s="55" t="s">
        <v>129</v>
      </c>
      <c r="C118" s="17" t="str">
        <f>VLOOKUP(A118,Uhikhinnad!$A$6:$F$156,2,FALSE)</f>
        <v>veetöötlus</v>
      </c>
      <c r="D118" s="17">
        <f>VLOOKUP(A118,Uhikhinnad!$A$6:$F$156,3,FALSE)</f>
        <v>0</v>
      </c>
      <c r="E118" s="18">
        <f>VLOOKUP(A118,Uhikhinnad!$A$6:$F$156,4,FALSE)</f>
        <v>0</v>
      </c>
      <c r="F118" s="19">
        <v>0</v>
      </c>
      <c r="G118" s="18">
        <f>VLOOKUP(A118,Uhikhinnad!$A$6:$F$156,5,FALSE)</f>
        <v>0</v>
      </c>
      <c r="H118" s="18">
        <f>VLOOKUP(A118,Uhikhinnad!$A$6:$F$156,6,FALSE)</f>
        <v>0</v>
      </c>
      <c r="I118" s="35">
        <f t="shared" si="3"/>
        <v>0</v>
      </c>
      <c r="J118" s="49"/>
      <c r="L118" s="93"/>
      <c r="M118" s="93"/>
      <c r="N118" s="93"/>
    </row>
    <row r="119" spans="1:14" s="44" customFormat="1" ht="11.25">
      <c r="A119" s="52" t="s">
        <v>138</v>
      </c>
      <c r="B119" s="55" t="s">
        <v>129</v>
      </c>
      <c r="C119" s="17" t="str">
        <f>VLOOKUP(A119,Uhikhinnad!$A$6:$F$156,2,FALSE)</f>
        <v>veetöötlus</v>
      </c>
      <c r="D119" s="17" t="str">
        <f>VLOOKUP(A119,Uhikhinnad!$A$6:$F$156,3,FALSE)</f>
        <v>(raud)</v>
      </c>
      <c r="E119" s="18" t="str">
        <f>VLOOKUP(A119,Uhikhinnad!$A$6:$F$156,4,FALSE)</f>
        <v>m3/h</v>
      </c>
      <c r="F119" s="19">
        <v>0</v>
      </c>
      <c r="G119" s="18">
        <f>VLOOKUP(A119,Uhikhinnad!$A$6:$F$156,5,FALSE)</f>
        <v>1200</v>
      </c>
      <c r="H119" s="18">
        <f>VLOOKUP(A119,Uhikhinnad!$A$6:$F$156,6,FALSE)</f>
        <v>0</v>
      </c>
      <c r="I119" s="35">
        <f t="shared" si="3"/>
        <v>0</v>
      </c>
      <c r="J119" s="49"/>
      <c r="L119" s="93"/>
      <c r="M119" s="93"/>
      <c r="N119" s="93"/>
    </row>
    <row r="120" spans="1:14" s="44" customFormat="1" ht="11.25">
      <c r="A120" s="52" t="s">
        <v>139</v>
      </c>
      <c r="B120" s="55" t="s">
        <v>129</v>
      </c>
      <c r="C120" s="17" t="str">
        <f>VLOOKUP(A120,Uhikhinnad!$A$6:$F$156,2,FALSE)</f>
        <v>veetöötlus</v>
      </c>
      <c r="D120" s="17" t="str">
        <f>VLOOKUP(A120,Uhikhinnad!$A$6:$F$156,3,FALSE)</f>
        <v>(raud+mangaan)</v>
      </c>
      <c r="E120" s="18" t="str">
        <f>VLOOKUP(A120,Uhikhinnad!$A$6:$F$156,4,FALSE)</f>
        <v>m3/h</v>
      </c>
      <c r="F120" s="19">
        <v>0</v>
      </c>
      <c r="G120" s="18">
        <f>VLOOKUP(A120,Uhikhinnad!$A$6:$F$156,5,FALSE)</f>
        <v>1700</v>
      </c>
      <c r="H120" s="18">
        <f>VLOOKUP(A120,Uhikhinnad!$A$6:$F$156,6,FALSE)</f>
        <v>0</v>
      </c>
      <c r="I120" s="35">
        <f t="shared" si="3"/>
        <v>0</v>
      </c>
      <c r="J120" s="49"/>
      <c r="L120" s="93"/>
      <c r="M120" s="93"/>
      <c r="N120" s="93"/>
    </row>
    <row r="121" spans="1:14" s="44" customFormat="1" ht="11.25">
      <c r="A121" s="52" t="s">
        <v>140</v>
      </c>
      <c r="B121" s="55" t="s">
        <v>129</v>
      </c>
      <c r="C121" s="17" t="str">
        <f>VLOOKUP(A121,Uhikhinnad!$A$6:$F$156,2,FALSE)</f>
        <v>veetöötlus </v>
      </c>
      <c r="D121" s="17" t="str">
        <f>VLOOKUP(A121,Uhikhinnad!$A$6:$F$156,3,FALSE)</f>
        <v>(raud+mangaan+ammoonium)</v>
      </c>
      <c r="E121" s="18" t="str">
        <f>VLOOKUP(A121,Uhikhinnad!$A$6:$F$156,4,FALSE)</f>
        <v>m3/h</v>
      </c>
      <c r="F121" s="19">
        <v>0</v>
      </c>
      <c r="G121" s="18">
        <f>VLOOKUP(A121,Uhikhinnad!$A$6:$F$156,5,FALSE)</f>
        <v>1750</v>
      </c>
      <c r="H121" s="18">
        <f>VLOOKUP(A121,Uhikhinnad!$A$6:$F$156,6,FALSE)</f>
        <v>0</v>
      </c>
      <c r="I121" s="35">
        <f t="shared" si="3"/>
        <v>0</v>
      </c>
      <c r="J121" s="49"/>
      <c r="L121" s="93"/>
      <c r="M121" s="93"/>
      <c r="N121" s="93"/>
    </row>
    <row r="122" spans="1:14" s="44" customFormat="1" ht="11.25">
      <c r="A122" s="52" t="s">
        <v>141</v>
      </c>
      <c r="B122" s="55" t="s">
        <v>129</v>
      </c>
      <c r="C122" s="17" t="str">
        <f>VLOOKUP(A122,Uhikhinnad!$A$6:$F$156,2,FALSE)</f>
        <v>veetöötlus </v>
      </c>
      <c r="D122" s="17" t="str">
        <f>VLOOKUP(A122,Uhikhinnad!$A$6:$F$156,3,FALSE)</f>
        <v>(raud+mangaan+efektiivdoos)</v>
      </c>
      <c r="E122" s="18" t="str">
        <f>VLOOKUP(A122,Uhikhinnad!$A$6:$F$156,4,FALSE)</f>
        <v>m3/h</v>
      </c>
      <c r="F122" s="19">
        <v>0</v>
      </c>
      <c r="G122" s="18">
        <f>VLOOKUP(A122,Uhikhinnad!$A$6:$F$156,5,FALSE)</f>
        <v>1800</v>
      </c>
      <c r="H122" s="18">
        <f>VLOOKUP(A122,Uhikhinnad!$A$6:$F$156,6,FALSE)</f>
        <v>0</v>
      </c>
      <c r="I122" s="35">
        <f t="shared" si="3"/>
        <v>0</v>
      </c>
      <c r="J122" s="49"/>
      <c r="L122" s="93"/>
      <c r="M122" s="93"/>
      <c r="N122" s="93"/>
    </row>
    <row r="123" spans="1:14" s="44" customFormat="1" ht="11.25">
      <c r="A123" s="52">
        <v>106</v>
      </c>
      <c r="B123" s="55" t="s">
        <v>129</v>
      </c>
      <c r="C123" s="17" t="str">
        <f>VLOOKUP(A123,Uhikhinnad!$A$6:$F$156,2,FALSE)</f>
        <v>teise astme pumpla tehnoloogia </v>
      </c>
      <c r="D123" s="17">
        <f>VLOOKUP(A123,Uhikhinnad!$A$6:$F$156,3,FALSE)</f>
        <v>0</v>
      </c>
      <c r="E123" s="18">
        <f>VLOOKUP(A123,Uhikhinnad!$A$6:$F$156,4,FALSE)</f>
        <v>0</v>
      </c>
      <c r="F123" s="19">
        <v>0</v>
      </c>
      <c r="G123" s="18">
        <f>VLOOKUP(A123,Uhikhinnad!$A$6:$F$156,5,FALSE)</f>
        <v>0</v>
      </c>
      <c r="H123" s="18">
        <f>VLOOKUP(A123,Uhikhinnad!$A$6:$F$156,6,FALSE)</f>
        <v>0</v>
      </c>
      <c r="I123" s="35">
        <f t="shared" si="3"/>
        <v>0</v>
      </c>
      <c r="J123" s="49"/>
      <c r="L123" s="93"/>
      <c r="M123" s="93"/>
      <c r="N123" s="93"/>
    </row>
    <row r="124" spans="1:14" s="44" customFormat="1" ht="11.25">
      <c r="A124" s="52" t="s">
        <v>10</v>
      </c>
      <c r="B124" s="55" t="s">
        <v>129</v>
      </c>
      <c r="C124" s="17" t="str">
        <f>VLOOKUP(A124,Uhikhinnad!$A$6:$F$156,2,FALSE)</f>
        <v>teise astme pumpla tehnoloogia </v>
      </c>
      <c r="D124" s="17" t="str">
        <f>VLOOKUP(A124,Uhikhinnad!$A$6:$F$156,3,FALSE)</f>
        <v>(&lt;20 m3/h)</v>
      </c>
      <c r="E124" s="18" t="str">
        <f>VLOOKUP(A124,Uhikhinnad!$A$6:$F$156,4,FALSE)</f>
        <v>kmpl</v>
      </c>
      <c r="F124" s="19">
        <v>0</v>
      </c>
      <c r="G124" s="18">
        <f>VLOOKUP(A124,Uhikhinnad!$A$6:$F$156,5,FALSE)</f>
        <v>28000</v>
      </c>
      <c r="H124" s="18">
        <f>VLOOKUP(A124,Uhikhinnad!$A$6:$F$156,6,FALSE)</f>
        <v>0</v>
      </c>
      <c r="I124" s="35">
        <f t="shared" si="3"/>
        <v>0</v>
      </c>
      <c r="J124" s="49"/>
      <c r="L124" s="93"/>
      <c r="M124" s="93"/>
      <c r="N124" s="93"/>
    </row>
    <row r="125" spans="1:14" s="44" customFormat="1" ht="11.25">
      <c r="A125" s="52" t="s">
        <v>135</v>
      </c>
      <c r="B125" s="55" t="s">
        <v>129</v>
      </c>
      <c r="C125" s="17" t="str">
        <f>VLOOKUP(A125,Uhikhinnad!$A$6:$F$156,2,FALSE)</f>
        <v>teise astme pumpla tehnoloogia </v>
      </c>
      <c r="D125" s="17" t="str">
        <f>VLOOKUP(A125,Uhikhinnad!$A$6:$F$156,3,FALSE)</f>
        <v>(20-40 m3/h)</v>
      </c>
      <c r="E125" s="18" t="str">
        <f>VLOOKUP(A125,Uhikhinnad!$A$6:$F$156,4,FALSE)</f>
        <v>kmpl</v>
      </c>
      <c r="F125" s="19">
        <v>0</v>
      </c>
      <c r="G125" s="18">
        <f>VLOOKUP(A125,Uhikhinnad!$A$6:$F$156,5,FALSE)</f>
        <v>74400</v>
      </c>
      <c r="H125" s="18">
        <f>VLOOKUP(A125,Uhikhinnad!$A$6:$F$156,6,FALSE)</f>
        <v>0</v>
      </c>
      <c r="I125" s="35">
        <f t="shared" si="3"/>
        <v>0</v>
      </c>
      <c r="J125" s="49"/>
      <c r="L125" s="93"/>
      <c r="M125" s="93"/>
      <c r="N125" s="93"/>
    </row>
    <row r="126" spans="1:14" s="44" customFormat="1" ht="11.25">
      <c r="A126" s="52" t="s">
        <v>136</v>
      </c>
      <c r="B126" s="55" t="s">
        <v>129</v>
      </c>
      <c r="C126" s="17" t="str">
        <f>VLOOKUP(A126,Uhikhinnad!$A$6:$F$156,2,FALSE)</f>
        <v>teise astme pumpla tehnoloogia </v>
      </c>
      <c r="D126" s="17" t="str">
        <f>VLOOKUP(A126,Uhikhinnad!$A$6:$F$156,3,FALSE)</f>
        <v>(&gt;40 m3/h)</v>
      </c>
      <c r="E126" s="18" t="str">
        <f>VLOOKUP(A126,Uhikhinnad!$A$6:$F$156,4,FALSE)</f>
        <v>kmpl</v>
      </c>
      <c r="F126" s="19">
        <v>0</v>
      </c>
      <c r="G126" s="18">
        <f>VLOOKUP(A126,Uhikhinnad!$A$6:$F$156,5,FALSE)</f>
        <v>112000</v>
      </c>
      <c r="H126" s="18">
        <f>VLOOKUP(A126,Uhikhinnad!$A$6:$F$156,6,FALSE)</f>
        <v>0</v>
      </c>
      <c r="I126" s="35">
        <f t="shared" si="3"/>
        <v>0</v>
      </c>
      <c r="J126" s="49"/>
      <c r="L126" s="93"/>
      <c r="M126" s="93"/>
      <c r="N126" s="93"/>
    </row>
    <row r="127" spans="1:14" s="44" customFormat="1" ht="11.25">
      <c r="A127" s="52">
        <v>107</v>
      </c>
      <c r="B127" s="55" t="s">
        <v>129</v>
      </c>
      <c r="C127" s="17" t="str">
        <f>VLOOKUP(A127,Uhikhinnad!$A$6:$F$156,2,FALSE)</f>
        <v>reservuaari rajamine</v>
      </c>
      <c r="D127" s="17">
        <f>VLOOKUP(A127,Uhikhinnad!$A$6:$F$156,3,FALSE)</f>
        <v>0</v>
      </c>
      <c r="E127" s="18">
        <f>VLOOKUP(A127,Uhikhinnad!$A$6:$F$156,4,FALSE)</f>
        <v>0</v>
      </c>
      <c r="F127" s="19">
        <v>0</v>
      </c>
      <c r="G127" s="18">
        <f>VLOOKUP(A127,Uhikhinnad!$A$6:$F$156,5,FALSE)</f>
        <v>0</v>
      </c>
      <c r="H127" s="18">
        <f>VLOOKUP(A127,Uhikhinnad!$A$6:$F$156,6,FALSE)</f>
        <v>0</v>
      </c>
      <c r="I127" s="35">
        <f t="shared" si="3"/>
        <v>0</v>
      </c>
      <c r="J127" s="49"/>
      <c r="L127" s="93"/>
      <c r="M127" s="93"/>
      <c r="N127" s="93"/>
    </row>
    <row r="128" spans="1:14" s="44" customFormat="1" ht="11.25">
      <c r="A128" s="52" t="s">
        <v>142</v>
      </c>
      <c r="B128" s="55" t="s">
        <v>129</v>
      </c>
      <c r="C128" s="17" t="str">
        <f>VLOOKUP(A128,Uhikhinnad!$A$6:$F$156,2,FALSE)</f>
        <v>reservuaari rajamine</v>
      </c>
      <c r="D128" s="17" t="str">
        <f>VLOOKUP(A128,Uhikhinnad!$A$6:$F$156,3,FALSE)</f>
        <v>plast (50 - 200 m3)</v>
      </c>
      <c r="E128" s="18" t="str">
        <f>VLOOKUP(A128,Uhikhinnad!$A$6:$F$156,4,FALSE)</f>
        <v>m3</v>
      </c>
      <c r="F128" s="19">
        <v>0</v>
      </c>
      <c r="G128" s="18">
        <f>VLOOKUP(A128,Uhikhinnad!$A$6:$F$156,5,FALSE)</f>
        <v>0</v>
      </c>
      <c r="H128" s="18">
        <f>VLOOKUP(A128,Uhikhinnad!$A$6:$F$156,6,FALSE)</f>
        <v>0</v>
      </c>
      <c r="I128" s="35">
        <f t="shared" si="3"/>
        <v>0</v>
      </c>
      <c r="J128" s="49"/>
      <c r="L128" s="93"/>
      <c r="M128" s="93"/>
      <c r="N128" s="93"/>
    </row>
    <row r="129" spans="1:14" s="44" customFormat="1" ht="11.25">
      <c r="A129" s="52" t="s">
        <v>143</v>
      </c>
      <c r="B129" s="55" t="s">
        <v>129</v>
      </c>
      <c r="C129" s="17" t="str">
        <f>VLOOKUP(A129,Uhikhinnad!$A$6:$F$156,2,FALSE)</f>
        <v>reservuaari rajamine</v>
      </c>
      <c r="D129" s="17" t="str">
        <f>VLOOKUP(A129,Uhikhinnad!$A$6:$F$156,3,FALSE)</f>
        <v>plast (201 + m3)</v>
      </c>
      <c r="E129" s="18" t="str">
        <f>VLOOKUP(A129,Uhikhinnad!$A$6:$F$156,4,FALSE)</f>
        <v>m3</v>
      </c>
      <c r="F129" s="19">
        <v>0</v>
      </c>
      <c r="G129" s="18">
        <f>VLOOKUP(A129,Uhikhinnad!$A$6:$F$156,5,FALSE)</f>
        <v>0</v>
      </c>
      <c r="H129" s="18">
        <f>VLOOKUP(A129,Uhikhinnad!$A$6:$F$156,6,FALSE)</f>
        <v>0</v>
      </c>
      <c r="I129" s="35">
        <f t="shared" si="3"/>
        <v>0</v>
      </c>
      <c r="J129" s="49"/>
      <c r="L129" s="93"/>
      <c r="M129" s="93"/>
      <c r="N129" s="93"/>
    </row>
    <row r="130" spans="1:14" s="44" customFormat="1" ht="11.25">
      <c r="A130" s="52" t="s">
        <v>144</v>
      </c>
      <c r="B130" s="55" t="s">
        <v>129</v>
      </c>
      <c r="C130" s="17" t="str">
        <f>VLOOKUP(A130,Uhikhinnad!$A$6:$F$156,2,FALSE)</f>
        <v>reservuaari rajamine</v>
      </c>
      <c r="D130" s="17" t="str">
        <f>VLOOKUP(A130,Uhikhinnad!$A$6:$F$156,3,FALSE)</f>
        <v>betoon (50 - 200 m3)</v>
      </c>
      <c r="E130" s="18" t="str">
        <f>VLOOKUP(A130,Uhikhinnad!$A$6:$F$156,4,FALSE)</f>
        <v>m3</v>
      </c>
      <c r="F130" s="19">
        <v>0</v>
      </c>
      <c r="G130" s="18">
        <f>VLOOKUP(A130,Uhikhinnad!$A$6:$F$156,5,FALSE)</f>
        <v>570</v>
      </c>
      <c r="H130" s="18">
        <f>VLOOKUP(A130,Uhikhinnad!$A$6:$F$156,6,FALSE)</f>
        <v>0</v>
      </c>
      <c r="I130" s="35">
        <f t="shared" si="3"/>
        <v>0</v>
      </c>
      <c r="J130" s="49"/>
      <c r="L130" s="93"/>
      <c r="M130" s="93"/>
      <c r="N130" s="93"/>
    </row>
    <row r="131" spans="1:14" s="44" customFormat="1" ht="11.25">
      <c r="A131" s="52" t="s">
        <v>202</v>
      </c>
      <c r="B131" s="55" t="s">
        <v>129</v>
      </c>
      <c r="C131" s="17" t="str">
        <f>VLOOKUP(A131,Uhikhinnad!$A$6:$F$156,2,FALSE)</f>
        <v>reservuaari rajamine</v>
      </c>
      <c r="D131" s="17" t="str">
        <f>VLOOKUP(A131,Uhikhinnad!$A$6:$F$156,3,FALSE)</f>
        <v>betoon (201 + m3)</v>
      </c>
      <c r="E131" s="18" t="str">
        <f>VLOOKUP(A131,Uhikhinnad!$A$6:$F$156,4,FALSE)</f>
        <v>m3</v>
      </c>
      <c r="F131" s="19">
        <v>0</v>
      </c>
      <c r="G131" s="18">
        <f>VLOOKUP(A131,Uhikhinnad!$A$6:$F$156,5,FALSE)</f>
        <v>450</v>
      </c>
      <c r="H131" s="18">
        <f>VLOOKUP(A131,Uhikhinnad!$A$6:$F$156,6,FALSE)</f>
        <v>0</v>
      </c>
      <c r="I131" s="35">
        <f t="shared" si="3"/>
        <v>0</v>
      </c>
      <c r="J131" s="49"/>
      <c r="L131" s="93"/>
      <c r="M131" s="93"/>
      <c r="N131" s="93"/>
    </row>
    <row r="132" spans="1:14" s="44" customFormat="1" ht="11.25">
      <c r="A132" s="52">
        <v>108</v>
      </c>
      <c r="B132" s="55" t="s">
        <v>129</v>
      </c>
      <c r="C132" s="17" t="str">
        <f>VLOOKUP(A132,Uhikhinnad!$A$6:$F$156,2,FALSE)</f>
        <v>reservuaari rekonstrueerimine</v>
      </c>
      <c r="D132" s="17">
        <f>VLOOKUP(A132,Uhikhinnad!$A$6:$F$156,3,FALSE)</f>
        <v>0</v>
      </c>
      <c r="E132" s="18">
        <f>VLOOKUP(A132,Uhikhinnad!$A$6:$F$156,4,FALSE)</f>
        <v>0</v>
      </c>
      <c r="F132" s="19">
        <v>0</v>
      </c>
      <c r="G132" s="18">
        <f>VLOOKUP(A132,Uhikhinnad!$A$6:$F$156,5,FALSE)</f>
        <v>0</v>
      </c>
      <c r="H132" s="18">
        <f>VLOOKUP(A132,Uhikhinnad!$A$6:$F$156,6,FALSE)</f>
        <v>0</v>
      </c>
      <c r="I132" s="35">
        <f t="shared" si="3"/>
        <v>0</v>
      </c>
      <c r="J132" s="49"/>
      <c r="L132" s="93"/>
      <c r="M132" s="93"/>
      <c r="N132" s="93"/>
    </row>
    <row r="133" spans="1:14" s="44" customFormat="1" ht="11.25">
      <c r="A133" s="52" t="s">
        <v>60</v>
      </c>
      <c r="B133" s="55" t="s">
        <v>129</v>
      </c>
      <c r="C133" s="17" t="str">
        <f>VLOOKUP(A133,Uhikhinnad!$A$6:$F$156,2,FALSE)</f>
        <v>reservuaari rekonstrueerimine</v>
      </c>
      <c r="D133" s="17" t="str">
        <f>VLOOKUP(A133,Uhikhinnad!$A$6:$F$156,3,FALSE)</f>
        <v>(50-200 m3)</v>
      </c>
      <c r="E133" s="18" t="str">
        <f>VLOOKUP(A133,Uhikhinnad!$A$6:$F$156,4,FALSE)</f>
        <v>m3</v>
      </c>
      <c r="F133" s="19">
        <v>0</v>
      </c>
      <c r="G133" s="18">
        <f>VLOOKUP(A133,Uhikhinnad!$A$6:$F$156,5,FALSE)</f>
        <v>250</v>
      </c>
      <c r="H133" s="18">
        <f>VLOOKUP(A133,Uhikhinnad!$A$6:$F$156,6,FALSE)</f>
        <v>0</v>
      </c>
      <c r="I133" s="35">
        <f t="shared" si="3"/>
        <v>0</v>
      </c>
      <c r="J133" s="49"/>
      <c r="L133" s="93"/>
      <c r="M133" s="93"/>
      <c r="N133" s="93"/>
    </row>
    <row r="134" spans="1:14" s="44" customFormat="1" ht="11.25">
      <c r="A134" s="52" t="s">
        <v>145</v>
      </c>
      <c r="B134" s="55" t="s">
        <v>129</v>
      </c>
      <c r="C134" s="17" t="str">
        <f>VLOOKUP(A134,Uhikhinnad!$A$6:$F$156,2,FALSE)</f>
        <v>reservuaari rekonstrueerimine</v>
      </c>
      <c r="D134" s="17" t="str">
        <f>VLOOKUP(A134,Uhikhinnad!$A$6:$F$156,3,FALSE)</f>
        <v>(201 + m3)</v>
      </c>
      <c r="E134" s="18" t="str">
        <f>VLOOKUP(A134,Uhikhinnad!$A$6:$F$156,4,FALSE)</f>
        <v>m3</v>
      </c>
      <c r="F134" s="19">
        <v>0</v>
      </c>
      <c r="G134" s="18">
        <f>VLOOKUP(A134,Uhikhinnad!$A$6:$F$156,5,FALSE)</f>
        <v>0</v>
      </c>
      <c r="H134" s="18">
        <f>VLOOKUP(A134,Uhikhinnad!$A$6:$F$156,6,FALSE)</f>
        <v>0</v>
      </c>
      <c r="I134" s="35">
        <f t="shared" si="3"/>
        <v>0</v>
      </c>
      <c r="J134" s="49"/>
      <c r="L134" s="93"/>
      <c r="M134" s="93"/>
      <c r="N134" s="93"/>
    </row>
    <row r="135" spans="1:14" s="44" customFormat="1" ht="11.25">
      <c r="A135" s="52" t="s">
        <v>65</v>
      </c>
      <c r="B135" s="55" t="s">
        <v>129</v>
      </c>
      <c r="C135" s="17" t="str">
        <f>VLOOKUP(A135,Uhikhinnad!$A$6:$F$156,2,FALSE)</f>
        <v>kaugjälgimise ja -juhtimise süsteem</v>
      </c>
      <c r="D135" s="17" t="str">
        <f>VLOOKUP(A135,Uhikhinnad!$A$6:$F$156,3,FALSE)</f>
        <v>(&lt;20 m3/h)</v>
      </c>
      <c r="E135" s="18" t="str">
        <f>VLOOKUP(A135,Uhikhinnad!$A$6:$F$156,4,FALSE)</f>
        <v>kmpl</v>
      </c>
      <c r="F135" s="19">
        <v>0</v>
      </c>
      <c r="G135" s="18">
        <f>VLOOKUP(A135,Uhikhinnad!$A$6:$F$156,5,FALSE)</f>
        <v>15000</v>
      </c>
      <c r="H135" s="18">
        <f>VLOOKUP(A135,Uhikhinnad!$A$6:$F$156,6,FALSE)</f>
        <v>0</v>
      </c>
      <c r="I135" s="35">
        <f t="shared" si="3"/>
        <v>0</v>
      </c>
      <c r="J135" s="49"/>
      <c r="L135" s="93"/>
      <c r="M135" s="93"/>
      <c r="N135" s="93"/>
    </row>
    <row r="136" spans="1:14" s="44" customFormat="1" ht="11.25">
      <c r="A136" s="52" t="s">
        <v>151</v>
      </c>
      <c r="B136" s="55" t="s">
        <v>129</v>
      </c>
      <c r="C136" s="17" t="str">
        <f>VLOOKUP(A136,Uhikhinnad!$A$6:$F$156,2,FALSE)</f>
        <v>kaugjälgimise ja -juhtimise süsteem</v>
      </c>
      <c r="D136" s="17" t="str">
        <f>VLOOKUP(A136,Uhikhinnad!$A$6:$F$156,3,FALSE)</f>
        <v>(&gt;20 m3/h)</v>
      </c>
      <c r="E136" s="18" t="str">
        <f>VLOOKUP(A136,Uhikhinnad!$A$6:$F$156,4,FALSE)</f>
        <v>kmpl</v>
      </c>
      <c r="F136" s="19">
        <v>0</v>
      </c>
      <c r="G136" s="18">
        <f>VLOOKUP(A136,Uhikhinnad!$A$6:$F$156,5,FALSE)</f>
        <v>50000</v>
      </c>
      <c r="H136" s="18">
        <f>VLOOKUP(A136,Uhikhinnad!$A$6:$F$156,6,FALSE)</f>
        <v>0</v>
      </c>
      <c r="I136" s="35">
        <f t="shared" si="3"/>
        <v>0</v>
      </c>
      <c r="J136" s="49"/>
      <c r="L136" s="93"/>
      <c r="M136" s="93"/>
      <c r="N136" s="93"/>
    </row>
    <row r="137" spans="1:14" s="44" customFormat="1" ht="11.25">
      <c r="A137" s="52">
        <v>601</v>
      </c>
      <c r="B137" s="55" t="s">
        <v>129</v>
      </c>
      <c r="C137" s="17" t="str">
        <f>VLOOKUP(A137,Uhikhinnad!$A$6:$F$156,2,FALSE)</f>
        <v>hoone rajamine</v>
      </c>
      <c r="D137" s="17">
        <f>VLOOKUP(A137,Uhikhinnad!$A$6:$F$156,3,FALSE)</f>
        <v>0</v>
      </c>
      <c r="E137" s="18" t="str">
        <f>VLOOKUP(A137,Uhikhinnad!$A$6:$F$156,4,FALSE)</f>
        <v>m2</v>
      </c>
      <c r="F137" s="19">
        <v>0</v>
      </c>
      <c r="G137" s="18">
        <f>VLOOKUP(A137,Uhikhinnad!$A$6:$F$156,5,FALSE)</f>
        <v>1023</v>
      </c>
      <c r="H137" s="18">
        <f>VLOOKUP(A137,Uhikhinnad!$A$6:$F$156,6,FALSE)</f>
        <v>0</v>
      </c>
      <c r="I137" s="35">
        <f aca="true" t="shared" si="4" ref="I137:I147">F137*G137+H137</f>
        <v>0</v>
      </c>
      <c r="J137" s="49"/>
      <c r="L137" s="93"/>
      <c r="M137" s="93"/>
      <c r="N137" s="93"/>
    </row>
    <row r="138" spans="1:14" s="44" customFormat="1" ht="11.25">
      <c r="A138" s="52" t="s">
        <v>196</v>
      </c>
      <c r="B138" s="55" t="s">
        <v>129</v>
      </c>
      <c r="C138" s="17" t="str">
        <f>VLOOKUP(A138,Uhikhinnad!$A$6:$F$156,2,FALSE)</f>
        <v>hoone rajamine</v>
      </c>
      <c r="D138" s="17" t="str">
        <f>VLOOKUP(A138,Uhikhinnad!$A$6:$F$156,3,FALSE)</f>
        <v>väikeplokk</v>
      </c>
      <c r="E138" s="18" t="str">
        <f>VLOOKUP(A138,Uhikhinnad!$A$6:$F$156,4,FALSE)</f>
        <v>m2</v>
      </c>
      <c r="F138" s="19">
        <v>0</v>
      </c>
      <c r="G138" s="18">
        <f>VLOOKUP(A138,Uhikhinnad!$A$6:$F$156,5,FALSE)</f>
        <v>1023</v>
      </c>
      <c r="H138" s="18">
        <f>VLOOKUP(A138,Uhikhinnad!$A$6:$F$156,6,FALSE)</f>
        <v>0</v>
      </c>
      <c r="I138" s="35">
        <f t="shared" si="4"/>
        <v>0</v>
      </c>
      <c r="J138" s="49"/>
      <c r="L138" s="93"/>
      <c r="M138" s="93"/>
      <c r="N138" s="93"/>
    </row>
    <row r="139" spans="1:14" s="44" customFormat="1" ht="11.25">
      <c r="A139" s="52" t="s">
        <v>198</v>
      </c>
      <c r="B139" s="55" t="s">
        <v>129</v>
      </c>
      <c r="C139" s="17" t="str">
        <f>VLOOKUP(A139,Uhikhinnad!$A$6:$F$156,2,FALSE)</f>
        <v>hoone rajamine</v>
      </c>
      <c r="D139" s="17" t="str">
        <f>VLOOKUP(A139,Uhikhinnad!$A$6:$F$156,3,FALSE)</f>
        <v>fiboplokk</v>
      </c>
      <c r="E139" s="18" t="str">
        <f>VLOOKUP(A139,Uhikhinnad!$A$6:$F$156,4,FALSE)</f>
        <v>m2</v>
      </c>
      <c r="F139" s="19">
        <v>0</v>
      </c>
      <c r="G139" s="18">
        <f>VLOOKUP(A139,Uhikhinnad!$A$6:$F$156,5,FALSE)</f>
        <v>1023</v>
      </c>
      <c r="H139" s="18">
        <f>VLOOKUP(A139,Uhikhinnad!$A$6:$F$156,6,FALSE)</f>
        <v>0</v>
      </c>
      <c r="I139" s="35">
        <f t="shared" si="4"/>
        <v>0</v>
      </c>
      <c r="J139" s="49"/>
      <c r="L139" s="93"/>
      <c r="M139" s="93"/>
      <c r="N139" s="93"/>
    </row>
    <row r="140" spans="1:14" s="44" customFormat="1" ht="11.25">
      <c r="A140" s="52" t="s">
        <v>201</v>
      </c>
      <c r="B140" s="55" t="s">
        <v>129</v>
      </c>
      <c r="C140" s="17" t="str">
        <f>VLOOKUP(A140,Uhikhinnad!$A$6:$F$156,2,FALSE)</f>
        <v>hoone rajamine</v>
      </c>
      <c r="D140" s="17">
        <f>VLOOKUP(A140,Uhikhinnad!$A$6:$F$156,3,FALSE)</f>
        <v>0</v>
      </c>
      <c r="E140" s="18" t="str">
        <f>VLOOKUP(A140,Uhikhinnad!$A$6:$F$156,4,FALSE)</f>
        <v>m2</v>
      </c>
      <c r="F140" s="19">
        <v>0</v>
      </c>
      <c r="G140" s="18">
        <f>VLOOKUP(A140,Uhikhinnad!$A$6:$F$156,5,FALSE)</f>
        <v>0</v>
      </c>
      <c r="H140" s="18">
        <f>VLOOKUP(A140,Uhikhinnad!$A$6:$F$156,6,FALSE)</f>
        <v>0</v>
      </c>
      <c r="I140" s="35">
        <f t="shared" si="4"/>
        <v>0</v>
      </c>
      <c r="J140" s="49"/>
      <c r="L140" s="93"/>
      <c r="M140" s="93"/>
      <c r="N140" s="93"/>
    </row>
    <row r="141" spans="1:14" s="44" customFormat="1" ht="11.25">
      <c r="A141" s="52">
        <v>602</v>
      </c>
      <c r="B141" s="55" t="s">
        <v>129</v>
      </c>
      <c r="C141" s="17" t="str">
        <f>VLOOKUP(A141,Uhikhinnad!$A$6:$F$156,2,FALSE)</f>
        <v>hoone rekonstrueerimine</v>
      </c>
      <c r="D141" s="17">
        <f>VLOOKUP(A141,Uhikhinnad!$A$6:$F$156,3,FALSE)</f>
        <v>0</v>
      </c>
      <c r="E141" s="18" t="str">
        <f>VLOOKUP(A141,Uhikhinnad!$A$6:$F$156,4,FALSE)</f>
        <v>m2</v>
      </c>
      <c r="F141" s="19">
        <v>0</v>
      </c>
      <c r="G141" s="18">
        <f>VLOOKUP(A141,Uhikhinnad!$A$6:$F$156,5,FALSE)</f>
        <v>0</v>
      </c>
      <c r="H141" s="18">
        <f>VLOOKUP(A141,Uhikhinnad!$A$6:$F$156,6,FALSE)</f>
        <v>0</v>
      </c>
      <c r="I141" s="35">
        <f t="shared" si="4"/>
        <v>0</v>
      </c>
      <c r="J141" s="49"/>
      <c r="L141" s="93"/>
      <c r="M141" s="93"/>
      <c r="N141" s="93"/>
    </row>
    <row r="142" spans="1:14" s="44" customFormat="1" ht="11.25">
      <c r="A142" s="52" t="s">
        <v>197</v>
      </c>
      <c r="B142" s="55" t="s">
        <v>129</v>
      </c>
      <c r="C142" s="17" t="str">
        <f>VLOOKUP(A142,Uhikhinnad!$A$6:$F$156,2,FALSE)</f>
        <v>hoone rekonstrueerimine</v>
      </c>
      <c r="D142" s="17" t="str">
        <f>VLOOKUP(A142,Uhikhinnad!$A$6:$F$156,3,FALSE)</f>
        <v>väikeplokk</v>
      </c>
      <c r="E142" s="18" t="str">
        <f>VLOOKUP(A142,Uhikhinnad!$A$6:$F$156,4,FALSE)</f>
        <v>m2</v>
      </c>
      <c r="F142" s="19">
        <v>0</v>
      </c>
      <c r="G142" s="18">
        <f>VLOOKUP(A142,Uhikhinnad!$A$6:$F$156,5,FALSE)</f>
        <v>1000</v>
      </c>
      <c r="H142" s="18">
        <f>VLOOKUP(A142,Uhikhinnad!$A$6:$F$156,6,FALSE)</f>
        <v>0</v>
      </c>
      <c r="I142" s="35">
        <f t="shared" si="4"/>
        <v>0</v>
      </c>
      <c r="J142" s="49"/>
      <c r="L142" s="93"/>
      <c r="M142" s="93"/>
      <c r="N142" s="93"/>
    </row>
    <row r="143" spans="1:14" s="44" customFormat="1" ht="11.25">
      <c r="A143" s="52">
        <v>603</v>
      </c>
      <c r="B143" s="55" t="s">
        <v>129</v>
      </c>
      <c r="C143" s="17" t="str">
        <f>VLOOKUP(A143,Uhikhinnad!$A$6:$F$156,2,FALSE)</f>
        <v>hoone lammutamine</v>
      </c>
      <c r="D143" s="17">
        <f>VLOOKUP(A143,Uhikhinnad!$A$6:$F$156,3,FALSE)</f>
        <v>0</v>
      </c>
      <c r="E143" s="18" t="str">
        <f>VLOOKUP(A143,Uhikhinnad!$A$6:$F$156,4,FALSE)</f>
        <v>m2</v>
      </c>
      <c r="F143" s="19">
        <v>0</v>
      </c>
      <c r="G143" s="18">
        <f>VLOOKUP(A143,Uhikhinnad!$A$6:$F$156,5,FALSE)</f>
        <v>300</v>
      </c>
      <c r="H143" s="18">
        <f>VLOOKUP(A143,Uhikhinnad!$A$6:$F$156,6,FALSE)</f>
        <v>0</v>
      </c>
      <c r="I143" s="35">
        <f t="shared" si="4"/>
        <v>0</v>
      </c>
      <c r="J143" s="49"/>
      <c r="L143" s="93"/>
      <c r="M143" s="93"/>
      <c r="N143" s="93"/>
    </row>
    <row r="144" spans="1:14" s="44" customFormat="1" ht="11.25">
      <c r="A144" s="52">
        <v>604</v>
      </c>
      <c r="B144" s="55" t="s">
        <v>129</v>
      </c>
      <c r="C144" s="17" t="str">
        <f>VLOOKUP(A144,Uhikhinnad!$A$6:$F$156,2,FALSE)</f>
        <v>piirdeaed</v>
      </c>
      <c r="D144" s="17">
        <f>VLOOKUP(A144,Uhikhinnad!$A$6:$F$156,3,FALSE)</f>
        <v>0</v>
      </c>
      <c r="E144" s="18">
        <f>VLOOKUP(A144,Uhikhinnad!$A$6:$F$156,4,FALSE)</f>
        <v>0</v>
      </c>
      <c r="F144" s="19">
        <v>0</v>
      </c>
      <c r="G144" s="18">
        <f>VLOOKUP(A144,Uhikhinnad!$A$6:$F$156,5,FALSE)</f>
        <v>0</v>
      </c>
      <c r="H144" s="18">
        <f>VLOOKUP(A144,Uhikhinnad!$A$6:$F$156,6,FALSE)</f>
        <v>0</v>
      </c>
      <c r="I144" s="35">
        <f t="shared" si="4"/>
        <v>0</v>
      </c>
      <c r="J144" s="49"/>
      <c r="L144" s="93"/>
      <c r="M144" s="93"/>
      <c r="N144" s="93"/>
    </row>
    <row r="145" spans="1:14" s="44" customFormat="1" ht="11.25">
      <c r="A145" s="52" t="s">
        <v>256</v>
      </c>
      <c r="B145" s="55" t="s">
        <v>129</v>
      </c>
      <c r="C145" s="17" t="str">
        <f>VLOOKUP(A145,Uhikhinnad!$A$6:$F$156,2,FALSE)</f>
        <v>tsingitud võrkpaneelidest aed</v>
      </c>
      <c r="D145" s="17" t="str">
        <f>VLOOKUP(A145,Uhikhinnad!$A$6:$F$156,3,FALSE)</f>
        <v>h=1,73m, aed koos väravaga</v>
      </c>
      <c r="E145" s="18" t="str">
        <f>VLOOKUP(A145,Uhikhinnad!$A$6:$F$156,4,FALSE)</f>
        <v>m</v>
      </c>
      <c r="F145" s="19">
        <v>0</v>
      </c>
      <c r="G145" s="18">
        <f>VLOOKUP(A145,Uhikhinnad!$A$6:$F$156,5,FALSE)</f>
        <v>45</v>
      </c>
      <c r="H145" s="18">
        <f>VLOOKUP(A145,Uhikhinnad!$A$6:$F$156,6,FALSE)</f>
        <v>0</v>
      </c>
      <c r="I145" s="35">
        <f t="shared" si="4"/>
        <v>0</v>
      </c>
      <c r="J145" s="49"/>
      <c r="L145" s="93"/>
      <c r="M145" s="93"/>
      <c r="N145" s="93"/>
    </row>
    <row r="146" spans="1:14" s="44" customFormat="1" ht="11.25">
      <c r="A146" s="52" t="s">
        <v>257</v>
      </c>
      <c r="B146" s="55" t="s">
        <v>129</v>
      </c>
      <c r="C146" s="17" t="str">
        <f>VLOOKUP(A146,Uhikhinnad!$A$6:$F$156,2,FALSE)</f>
        <v>piirdeaed</v>
      </c>
      <c r="D146" s="17">
        <f>VLOOKUP(A146,Uhikhinnad!$A$6:$F$156,3,FALSE)</f>
        <v>0</v>
      </c>
      <c r="E146" s="18" t="str">
        <f>VLOOKUP(A146,Uhikhinnad!$A$6:$F$156,4,FALSE)</f>
        <v>m</v>
      </c>
      <c r="F146" s="19">
        <v>0</v>
      </c>
      <c r="G146" s="18">
        <f>VLOOKUP(A146,Uhikhinnad!$A$6:$F$156,5,FALSE)</f>
        <v>0</v>
      </c>
      <c r="H146" s="18">
        <f>VLOOKUP(A146,Uhikhinnad!$A$6:$F$156,6,FALSE)</f>
        <v>0</v>
      </c>
      <c r="I146" s="35">
        <f t="shared" si="4"/>
        <v>0</v>
      </c>
      <c r="J146" s="49"/>
      <c r="L146" s="93"/>
      <c r="M146" s="93"/>
      <c r="N146" s="93"/>
    </row>
    <row r="147" spans="1:14" s="44" customFormat="1" ht="11.25">
      <c r="A147" s="52">
        <v>605</v>
      </c>
      <c r="B147" s="55" t="s">
        <v>129</v>
      </c>
      <c r="C147" s="17" t="str">
        <f>VLOOKUP(A147,Uhikhinnad!$A$6:$F$156,2,FALSE)</f>
        <v>läbiviik jõe, maantee või raudtee alt</v>
      </c>
      <c r="D147" s="17" t="str">
        <f>VLOOKUP(A147,Uhikhinnad!$A$6:$F$156,3,FALSE)</f>
        <v>Toru ja hülss</v>
      </c>
      <c r="E147" s="18" t="str">
        <f>VLOOKUP(A147,Uhikhinnad!$A$6:$F$156,4,FALSE)</f>
        <v>tk</v>
      </c>
      <c r="F147" s="19">
        <v>0</v>
      </c>
      <c r="G147" s="18">
        <f>VLOOKUP(A147,Uhikhinnad!$A$6:$F$156,5,FALSE)</f>
        <v>14000</v>
      </c>
      <c r="H147" s="18">
        <f>VLOOKUP(A147,Uhikhinnad!$A$6:$F$156,6,FALSE)</f>
        <v>0</v>
      </c>
      <c r="I147" s="35">
        <f t="shared" si="4"/>
        <v>0</v>
      </c>
      <c r="J147" s="49"/>
      <c r="L147" s="93"/>
      <c r="M147" s="93"/>
      <c r="N147" s="93"/>
    </row>
    <row r="148" s="60" customFormat="1" ht="12">
      <c r="I148" s="61"/>
    </row>
    <row r="149" spans="1:14" ht="11.25">
      <c r="A149" s="7"/>
      <c r="B149" s="8"/>
      <c r="C149" s="50" t="s">
        <v>73</v>
      </c>
      <c r="J149" s="49"/>
      <c r="M149" s="51"/>
      <c r="N149" s="51"/>
    </row>
    <row r="150" spans="1:10" ht="11.25">
      <c r="A150" s="52"/>
      <c r="B150" s="53"/>
      <c r="C150" s="13" t="s">
        <v>272</v>
      </c>
      <c r="D150" s="14"/>
      <c r="E150" s="15"/>
      <c r="F150" s="16"/>
      <c r="G150" s="15"/>
      <c r="H150" s="15"/>
      <c r="I150" s="36"/>
      <c r="J150" s="49"/>
    </row>
    <row r="151" spans="1:10" ht="11.25">
      <c r="A151" s="52"/>
      <c r="B151" s="53"/>
      <c r="C151" s="94" t="s">
        <v>273</v>
      </c>
      <c r="D151" s="14"/>
      <c r="E151" s="15"/>
      <c r="F151" s="16"/>
      <c r="G151" s="15"/>
      <c r="H151" s="15"/>
      <c r="I151" s="62">
        <f>SUM(I152:I171)</f>
        <v>0</v>
      </c>
      <c r="J151" s="49"/>
    </row>
    <row r="152" spans="1:14" s="44" customFormat="1" ht="11.25">
      <c r="A152" s="52">
        <v>201</v>
      </c>
      <c r="B152" s="55" t="s">
        <v>130</v>
      </c>
      <c r="C152" s="17" t="str">
        <f>VLOOKUP(A152,Uhikhinnad!$A$6:$F$156,2,FALSE)</f>
        <v>veetoru</v>
      </c>
      <c r="D152" s="17">
        <f>VLOOKUP(A152,Uhikhinnad!$A$6:$F$156,3,FALSE)</f>
        <v>0</v>
      </c>
      <c r="E152" s="18" t="str">
        <f>VLOOKUP(A152,Uhikhinnad!$A$6:$F$156,4,FALSE)</f>
        <v>m</v>
      </c>
      <c r="F152" s="19">
        <v>0</v>
      </c>
      <c r="G152" s="18">
        <f>VLOOKUP(A152,Uhikhinnad!$A$6:$F$156,5,FALSE)</f>
        <v>0</v>
      </c>
      <c r="H152" s="18">
        <f>VLOOKUP(A152,Uhikhinnad!$A$6:$F$156,6,FALSE)</f>
        <v>0</v>
      </c>
      <c r="I152" s="35">
        <f aca="true" t="shared" si="5" ref="I152:I171">F152*G152+H152</f>
        <v>0</v>
      </c>
      <c r="J152" s="49"/>
      <c r="L152" s="93"/>
      <c r="M152" s="93"/>
      <c r="N152" s="93"/>
    </row>
    <row r="153" spans="1:14" s="44" customFormat="1" ht="11.25">
      <c r="A153" s="52" t="s">
        <v>163</v>
      </c>
      <c r="B153" s="55" t="s">
        <v>130</v>
      </c>
      <c r="C153" s="17" t="str">
        <f>VLOOKUP(A153,Uhikhinnad!$A$6:$F$156,2,FALSE)</f>
        <v>veetoru</v>
      </c>
      <c r="D153" s="17" t="str">
        <f>VLOOKUP(A153,Uhikhinnad!$A$6:$F$156,3,FALSE)</f>
        <v>De32-De110</v>
      </c>
      <c r="E153" s="18" t="str">
        <f>VLOOKUP(A153,Uhikhinnad!$A$6:$F$156,4,FALSE)</f>
        <v>m</v>
      </c>
      <c r="F153" s="19">
        <v>0</v>
      </c>
      <c r="G153" s="18">
        <f>VLOOKUP(A153,Uhikhinnad!$A$6:$F$156,5,FALSE)</f>
        <v>120</v>
      </c>
      <c r="H153" s="18">
        <f>VLOOKUP(A153,Uhikhinnad!$A$6:$F$156,6,FALSE)</f>
        <v>0</v>
      </c>
      <c r="I153" s="35">
        <f t="shared" si="5"/>
        <v>0</v>
      </c>
      <c r="J153" s="49"/>
      <c r="L153" s="93"/>
      <c r="M153" s="93"/>
      <c r="N153" s="93"/>
    </row>
    <row r="154" spans="1:14" s="44" customFormat="1" ht="11.25">
      <c r="A154" s="52" t="s">
        <v>164</v>
      </c>
      <c r="B154" s="55" t="s">
        <v>130</v>
      </c>
      <c r="C154" s="17" t="str">
        <f>VLOOKUP(A154,Uhikhinnad!$A$6:$F$156,2,FALSE)</f>
        <v>veetoru</v>
      </c>
      <c r="D154" s="17" t="str">
        <f>VLOOKUP(A154,Uhikhinnad!$A$6:$F$156,3,FALSE)</f>
        <v>De160-De315</v>
      </c>
      <c r="E154" s="18" t="str">
        <f>VLOOKUP(A154,Uhikhinnad!$A$6:$F$156,4,FALSE)</f>
        <v>m</v>
      </c>
      <c r="F154" s="19">
        <v>0</v>
      </c>
      <c r="G154" s="18">
        <f>VLOOKUP(A154,Uhikhinnad!$A$6:$F$156,5,FALSE)</f>
        <v>200</v>
      </c>
      <c r="H154" s="18">
        <f>VLOOKUP(A154,Uhikhinnad!$A$6:$F$156,6,FALSE)</f>
        <v>0</v>
      </c>
      <c r="I154" s="35">
        <f t="shared" si="5"/>
        <v>0</v>
      </c>
      <c r="J154" s="49"/>
      <c r="L154" s="93"/>
      <c r="M154" s="93"/>
      <c r="N154" s="93"/>
    </row>
    <row r="155" spans="1:14" s="44" customFormat="1" ht="11.25">
      <c r="A155" s="52" t="s">
        <v>187</v>
      </c>
      <c r="B155" s="55" t="s">
        <v>130</v>
      </c>
      <c r="C155" s="17" t="str">
        <f>VLOOKUP(A155,Uhikhinnad!$A$6:$F$156,2,FALSE)</f>
        <v>veetoru</v>
      </c>
      <c r="D155" s="17" t="str">
        <f>VLOOKUP(A155,Uhikhinnad!$A$6:$F$156,3,FALSE)</f>
        <v>De32-De110</v>
      </c>
      <c r="E155" s="18" t="str">
        <f>VLOOKUP(A155,Uhikhinnad!$A$6:$F$156,4,FALSE)</f>
        <v>m</v>
      </c>
      <c r="F155" s="19">
        <v>0</v>
      </c>
      <c r="G155" s="18">
        <f>VLOOKUP(A155,Uhikhinnad!$A$6:$F$156,5,FALSE)</f>
        <v>100</v>
      </c>
      <c r="H155" s="18">
        <f>VLOOKUP(A155,Uhikhinnad!$A$6:$F$156,6,FALSE)</f>
        <v>0</v>
      </c>
      <c r="I155" s="35">
        <f t="shared" si="5"/>
        <v>0</v>
      </c>
      <c r="J155" s="49"/>
      <c r="K155" s="93"/>
      <c r="L155" s="93"/>
      <c r="M155" s="93"/>
      <c r="N155" s="93"/>
    </row>
    <row r="156" spans="1:14" s="44" customFormat="1" ht="11.25">
      <c r="A156" s="52" t="s">
        <v>239</v>
      </c>
      <c r="B156" s="55" t="s">
        <v>130</v>
      </c>
      <c r="C156" s="17" t="str">
        <f>VLOOKUP(A156,Uhikhinnad!$A$6:$F$156,2,FALSE)</f>
        <v>veetoru</v>
      </c>
      <c r="D156" s="17" t="str">
        <f>VLOOKUP(A156,Uhikhinnad!$A$6:$F$156,3,FALSE)</f>
        <v>De160-De315</v>
      </c>
      <c r="E156" s="18" t="str">
        <f>VLOOKUP(A156,Uhikhinnad!$A$6:$F$156,4,FALSE)</f>
        <v>m</v>
      </c>
      <c r="F156" s="19">
        <v>0</v>
      </c>
      <c r="G156" s="18">
        <f>VLOOKUP(A156,Uhikhinnad!$A$6:$F$156,5,FALSE)</f>
        <v>190</v>
      </c>
      <c r="H156" s="18">
        <f>VLOOKUP(A156,Uhikhinnad!$A$6:$F$156,6,FALSE)</f>
        <v>0</v>
      </c>
      <c r="I156" s="35">
        <f t="shared" si="5"/>
        <v>0</v>
      </c>
      <c r="J156" s="49"/>
      <c r="K156" s="93"/>
      <c r="L156" s="93"/>
      <c r="M156" s="93"/>
      <c r="N156" s="93"/>
    </row>
    <row r="157" spans="1:14" s="44" customFormat="1" ht="11.25">
      <c r="A157" s="52" t="s">
        <v>240</v>
      </c>
      <c r="B157" s="55" t="s">
        <v>130</v>
      </c>
      <c r="C157" s="17" t="str">
        <f>VLOOKUP(A157,Uhikhinnad!$A$6:$F$156,2,FALSE)</f>
        <v>tuletõrjevee toru</v>
      </c>
      <c r="D157" s="17" t="str">
        <f>VLOOKUP(A157,Uhikhinnad!$A$6:$F$156,3,FALSE)</f>
        <v>DN100</v>
      </c>
      <c r="E157" s="18" t="str">
        <f>VLOOKUP(A157,Uhikhinnad!$A$6:$F$156,4,FALSE)</f>
        <v>m</v>
      </c>
      <c r="F157" s="19">
        <v>0</v>
      </c>
      <c r="G157" s="18">
        <f>VLOOKUP(A157,Uhikhinnad!$A$6:$F$156,5,FALSE)</f>
        <v>120</v>
      </c>
      <c r="H157" s="18">
        <f>VLOOKUP(A157,Uhikhinnad!$A$6:$F$156,6,FALSE)</f>
        <v>0</v>
      </c>
      <c r="I157" s="35">
        <f t="shared" si="5"/>
        <v>0</v>
      </c>
      <c r="J157" s="49"/>
      <c r="K157" s="93"/>
      <c r="L157" s="93"/>
      <c r="M157" s="93"/>
      <c r="N157" s="93"/>
    </row>
    <row r="158" spans="1:14" s="44" customFormat="1" ht="11.25">
      <c r="A158" s="52">
        <v>202</v>
      </c>
      <c r="B158" s="55" t="s">
        <v>130</v>
      </c>
      <c r="C158" s="17" t="str">
        <f>VLOOKUP(A158,Uhikhinnad!$A$6:$F$156,2,FALSE)</f>
        <v>majaühendus</v>
      </c>
      <c r="D158" s="17" t="str">
        <f>VLOOKUP(A158,Uhikhinnad!$A$6:$F$156,3,FALSE)</f>
        <v>Toru, maakraan, otsakork</v>
      </c>
      <c r="E158" s="18" t="str">
        <f>VLOOKUP(A158,Uhikhinnad!$A$6:$F$156,4,FALSE)</f>
        <v>kmpl</v>
      </c>
      <c r="F158" s="19">
        <v>0</v>
      </c>
      <c r="G158" s="18">
        <f>VLOOKUP(A158,Uhikhinnad!$A$6:$F$156,5,FALSE)</f>
        <v>900</v>
      </c>
      <c r="H158" s="18">
        <f>VLOOKUP(A158,Uhikhinnad!$A$6:$F$156,6,FALSE)</f>
        <v>0</v>
      </c>
      <c r="I158" s="35">
        <f t="shared" si="5"/>
        <v>0</v>
      </c>
      <c r="J158" s="49"/>
      <c r="K158" s="93"/>
      <c r="L158" s="93"/>
      <c r="M158" s="93"/>
      <c r="N158" s="93"/>
    </row>
    <row r="159" spans="1:14" s="44" customFormat="1" ht="11.25">
      <c r="A159" s="52">
        <v>203</v>
      </c>
      <c r="B159" s="55" t="s">
        <v>130</v>
      </c>
      <c r="C159" s="17" t="str">
        <f>VLOOKUP(A159,Uhikhinnad!$A$6:$F$156,2,FALSE)</f>
        <v>hüdrant</v>
      </c>
      <c r="D159" s="17" t="str">
        <f>VLOOKUP(A159,Uhikhinnad!$A$6:$F$156,3,FALSE)</f>
        <v>DN100 ühendus</v>
      </c>
      <c r="E159" s="18" t="str">
        <f>VLOOKUP(A159,Uhikhinnad!$A$6:$F$156,4,FALSE)</f>
        <v>tk</v>
      </c>
      <c r="F159" s="19">
        <v>0</v>
      </c>
      <c r="G159" s="18">
        <f>VLOOKUP(A159,Uhikhinnad!$A$6:$F$156,5,FALSE)</f>
        <v>1900</v>
      </c>
      <c r="H159" s="18">
        <f>VLOOKUP(A159,Uhikhinnad!$A$6:$F$156,6,FALSE)</f>
        <v>0</v>
      </c>
      <c r="I159" s="35">
        <f t="shared" si="5"/>
        <v>0</v>
      </c>
      <c r="J159" s="49"/>
      <c r="K159" s="93"/>
      <c r="L159" s="93"/>
      <c r="M159" s="93"/>
      <c r="N159" s="93"/>
    </row>
    <row r="160" spans="1:14" s="44" customFormat="1" ht="11.25">
      <c r="A160" s="52">
        <v>204</v>
      </c>
      <c r="B160" s="55" t="s">
        <v>130</v>
      </c>
      <c r="C160" s="17" t="str">
        <f>VLOOKUP(A160,Uhikhinnad!$A$6:$F$156,2,FALSE)</f>
        <v>plastikust siibri/veemõõtja kaev </v>
      </c>
      <c r="D160" s="17" t="str">
        <f>VLOOKUP(A160,Uhikhinnad!$A$6:$F$156,3,FALSE)</f>
        <v>D1500mm</v>
      </c>
      <c r="E160" s="18" t="str">
        <f>VLOOKUP(A160,Uhikhinnad!$A$6:$F$156,4,FALSE)</f>
        <v>tk</v>
      </c>
      <c r="F160" s="19">
        <v>0</v>
      </c>
      <c r="G160" s="18">
        <f>VLOOKUP(A160,Uhikhinnad!$A$6:$F$156,5,FALSE)</f>
        <v>20000</v>
      </c>
      <c r="H160" s="18">
        <f>VLOOKUP(A160,Uhikhinnad!$A$6:$F$156,6,FALSE)</f>
        <v>0</v>
      </c>
      <c r="I160" s="35">
        <f t="shared" si="5"/>
        <v>0</v>
      </c>
      <c r="J160" s="49"/>
      <c r="K160" s="93"/>
      <c r="L160" s="93"/>
      <c r="M160" s="93"/>
      <c r="N160" s="93"/>
    </row>
    <row r="161" spans="1:14" s="44" customFormat="1" ht="11.25">
      <c r="A161" s="52">
        <v>205</v>
      </c>
      <c r="B161" s="55" t="s">
        <v>130</v>
      </c>
      <c r="C161" s="17" t="str">
        <f>VLOOKUP(A161,Uhikhinnad!$A$6:$F$156,2,FALSE)</f>
        <v>muu veevõrgu seade</v>
      </c>
      <c r="D161" s="17">
        <f>VLOOKUP(A161,Uhikhinnad!$A$6:$F$156,3,FALSE)</f>
        <v>0</v>
      </c>
      <c r="E161" s="18" t="str">
        <f>VLOOKUP(A161,Uhikhinnad!$A$6:$F$156,4,FALSE)</f>
        <v>tk</v>
      </c>
      <c r="F161" s="19">
        <v>0</v>
      </c>
      <c r="G161" s="18">
        <f>VLOOKUP(A161,Uhikhinnad!$A$6:$F$156,5,FALSE)</f>
        <v>1500</v>
      </c>
      <c r="H161" s="18">
        <f>VLOOKUP(A161,Uhikhinnad!$A$6:$F$156,6,FALSE)</f>
        <v>0</v>
      </c>
      <c r="I161" s="35">
        <f t="shared" si="5"/>
        <v>0</v>
      </c>
      <c r="J161" s="49"/>
      <c r="K161" s="93"/>
      <c r="L161" s="93"/>
      <c r="M161" s="93"/>
      <c r="N161" s="93"/>
    </row>
    <row r="162" spans="1:14" s="44" customFormat="1" ht="11.25">
      <c r="A162" s="52">
        <v>206</v>
      </c>
      <c r="B162" s="55" t="s">
        <v>130</v>
      </c>
      <c r="C162" s="17" t="str">
        <f>VLOOKUP(A162,Uhikhinnad!$A$6:$F$156,2,FALSE)</f>
        <v>siibrite automaatjuhtimine</v>
      </c>
      <c r="D162" s="17" t="str">
        <f>VLOOKUP(A162,Uhikhinnad!$A$6:$F$156,3,FALSE)</f>
        <v>seadmed ja programmeerimine</v>
      </c>
      <c r="E162" s="18" t="str">
        <f>VLOOKUP(A162,Uhikhinnad!$A$6:$F$156,4,FALSE)</f>
        <v>tk</v>
      </c>
      <c r="F162" s="19">
        <v>0</v>
      </c>
      <c r="G162" s="18">
        <f>VLOOKUP(A162,Uhikhinnad!$A$6:$F$156,5,FALSE)</f>
        <v>6000</v>
      </c>
      <c r="H162" s="18">
        <f>VLOOKUP(A162,Uhikhinnad!$A$6:$F$156,6,FALSE)</f>
        <v>0</v>
      </c>
      <c r="I162" s="35">
        <f t="shared" si="5"/>
        <v>0</v>
      </c>
      <c r="J162" s="49"/>
      <c r="K162" s="93"/>
      <c r="L162" s="93"/>
      <c r="M162" s="93"/>
      <c r="N162" s="93"/>
    </row>
    <row r="163" spans="1:14" s="44" customFormat="1" ht="11.25">
      <c r="A163" s="52">
        <v>207</v>
      </c>
      <c r="B163" s="55" t="s">
        <v>130</v>
      </c>
      <c r="C163" s="17" t="str">
        <f>VLOOKUP(A163,Uhikhinnad!$A$6:$F$156,2,FALSE)</f>
        <v>tuletõrjevee mahuti rajamine</v>
      </c>
      <c r="D163" s="17">
        <f>VLOOKUP(A163,Uhikhinnad!$A$6:$F$156,3,FALSE)</f>
        <v>0</v>
      </c>
      <c r="E163" s="18">
        <f>VLOOKUP(A163,Uhikhinnad!$A$6:$F$156,4,FALSE)</f>
        <v>0</v>
      </c>
      <c r="F163" s="19">
        <v>0</v>
      </c>
      <c r="G163" s="18">
        <f>VLOOKUP(A163,Uhikhinnad!$A$6:$F$156,5,FALSE)</f>
        <v>0</v>
      </c>
      <c r="H163" s="18">
        <f>VLOOKUP(A163,Uhikhinnad!$A$6:$F$156,6,FALSE)</f>
        <v>0</v>
      </c>
      <c r="I163" s="35">
        <f t="shared" si="5"/>
        <v>0</v>
      </c>
      <c r="J163" s="49"/>
      <c r="K163" s="93"/>
      <c r="L163" s="93"/>
      <c r="M163" s="93"/>
      <c r="N163" s="93"/>
    </row>
    <row r="164" spans="1:14" s="44" customFormat="1" ht="11.25">
      <c r="A164" s="52" t="s">
        <v>216</v>
      </c>
      <c r="B164" s="55" t="s">
        <v>130</v>
      </c>
      <c r="C164" s="17" t="str">
        <f>VLOOKUP(A164,Uhikhinnad!$A$6:$F$156,2,FALSE)</f>
        <v>tuletõrjevee mahuti rajamine</v>
      </c>
      <c r="D164" s="17" t="str">
        <f>VLOOKUP(A164,Uhikhinnad!$A$6:$F$156,3,FALSE)</f>
        <v>plast (50 - 200 m3)</v>
      </c>
      <c r="E164" s="18" t="str">
        <f>VLOOKUP(A164,Uhikhinnad!$A$6:$F$156,4,FALSE)</f>
        <v>m3</v>
      </c>
      <c r="F164" s="19">
        <v>0</v>
      </c>
      <c r="G164" s="18">
        <f>VLOOKUP(A164,Uhikhinnad!$A$6:$F$156,5,FALSE)</f>
        <v>0</v>
      </c>
      <c r="H164" s="18">
        <f>VLOOKUP(A164,Uhikhinnad!$A$6:$F$156,6,FALSE)</f>
        <v>0</v>
      </c>
      <c r="I164" s="35">
        <f t="shared" si="5"/>
        <v>0</v>
      </c>
      <c r="J164" s="49"/>
      <c r="K164" s="93"/>
      <c r="L164" s="93"/>
      <c r="M164" s="93"/>
      <c r="N164" s="93"/>
    </row>
    <row r="165" spans="1:14" s="44" customFormat="1" ht="11.25">
      <c r="A165" s="52" t="s">
        <v>217</v>
      </c>
      <c r="B165" s="55" t="s">
        <v>130</v>
      </c>
      <c r="C165" s="17" t="str">
        <f>VLOOKUP(A165,Uhikhinnad!$A$6:$F$156,2,FALSE)</f>
        <v>tuletõrjevee mahuti rajamine</v>
      </c>
      <c r="D165" s="17" t="str">
        <f>VLOOKUP(A165,Uhikhinnad!$A$6:$F$156,3,FALSE)</f>
        <v>plast (201 + m3)</v>
      </c>
      <c r="E165" s="18" t="str">
        <f>VLOOKUP(A165,Uhikhinnad!$A$6:$F$156,4,FALSE)</f>
        <v>m3</v>
      </c>
      <c r="F165" s="19">
        <v>0</v>
      </c>
      <c r="G165" s="18">
        <f>VLOOKUP(A165,Uhikhinnad!$A$6:$F$156,5,FALSE)</f>
        <v>0</v>
      </c>
      <c r="H165" s="18">
        <f>VLOOKUP(A165,Uhikhinnad!$A$6:$F$156,6,FALSE)</f>
        <v>0</v>
      </c>
      <c r="I165" s="35">
        <f t="shared" si="5"/>
        <v>0</v>
      </c>
      <c r="J165" s="49"/>
      <c r="K165" s="93"/>
      <c r="L165" s="93"/>
      <c r="M165" s="93"/>
      <c r="N165" s="93"/>
    </row>
    <row r="166" spans="1:14" s="44" customFormat="1" ht="11.25">
      <c r="A166" s="52" t="s">
        <v>218</v>
      </c>
      <c r="B166" s="55" t="s">
        <v>130</v>
      </c>
      <c r="C166" s="17" t="str">
        <f>VLOOKUP(A166,Uhikhinnad!$A$6:$F$156,2,FALSE)</f>
        <v>tuletõrjevee mahuti rajamine</v>
      </c>
      <c r="D166" s="17" t="str">
        <f>VLOOKUP(A166,Uhikhinnad!$A$6:$F$156,3,FALSE)</f>
        <v>betoon (50 - 200 m3)</v>
      </c>
      <c r="E166" s="18" t="str">
        <f>VLOOKUP(A166,Uhikhinnad!$A$6:$F$156,4,FALSE)</f>
        <v>m3</v>
      </c>
      <c r="F166" s="19">
        <v>0</v>
      </c>
      <c r="G166" s="18">
        <f>VLOOKUP(A166,Uhikhinnad!$A$6:$F$156,5,FALSE)</f>
        <v>570</v>
      </c>
      <c r="H166" s="18">
        <f>VLOOKUP(A166,Uhikhinnad!$A$6:$F$156,6,FALSE)</f>
        <v>0</v>
      </c>
      <c r="I166" s="35">
        <f t="shared" si="5"/>
        <v>0</v>
      </c>
      <c r="J166" s="49"/>
      <c r="K166" s="93"/>
      <c r="L166" s="93"/>
      <c r="M166" s="93"/>
      <c r="N166" s="93"/>
    </row>
    <row r="167" spans="1:14" s="44" customFormat="1" ht="11.25">
      <c r="A167" s="52" t="s">
        <v>219</v>
      </c>
      <c r="B167" s="55" t="s">
        <v>130</v>
      </c>
      <c r="C167" s="17" t="str">
        <f>VLOOKUP(A167,Uhikhinnad!$A$6:$F$156,2,FALSE)</f>
        <v>tuletõrjevee mahuti rajamine</v>
      </c>
      <c r="D167" s="17" t="str">
        <f>VLOOKUP(A167,Uhikhinnad!$A$6:$F$156,3,FALSE)</f>
        <v>betoon (201 + m3)</v>
      </c>
      <c r="E167" s="18" t="str">
        <f>VLOOKUP(A167,Uhikhinnad!$A$6:$F$156,4,FALSE)</f>
        <v>m3</v>
      </c>
      <c r="F167" s="19">
        <v>0</v>
      </c>
      <c r="G167" s="18">
        <f>VLOOKUP(A167,Uhikhinnad!$A$6:$F$156,5,FALSE)</f>
        <v>450</v>
      </c>
      <c r="H167" s="18">
        <f>VLOOKUP(A167,Uhikhinnad!$A$6:$F$156,6,FALSE)</f>
        <v>0</v>
      </c>
      <c r="I167" s="35">
        <f t="shared" si="5"/>
        <v>0</v>
      </c>
      <c r="J167" s="49"/>
      <c r="K167" s="93"/>
      <c r="L167" s="93"/>
      <c r="M167" s="93"/>
      <c r="N167" s="93"/>
    </row>
    <row r="168" spans="1:14" s="44" customFormat="1" ht="11.25">
      <c r="A168" s="52">
        <v>208</v>
      </c>
      <c r="B168" s="55" t="s">
        <v>130</v>
      </c>
      <c r="C168" s="17" t="str">
        <f>VLOOKUP(A168,Uhikhinnad!$A$6:$F$156,2,FALSE)</f>
        <v>tuletõrjevee mahuti rekonstrueerimine</v>
      </c>
      <c r="D168" s="17">
        <f>VLOOKUP(A168,Uhikhinnad!$A$6:$F$156,3,FALSE)</f>
        <v>0</v>
      </c>
      <c r="E168" s="18">
        <f>VLOOKUP(A168,Uhikhinnad!$A$6:$F$156,4,FALSE)</f>
        <v>0</v>
      </c>
      <c r="F168" s="19">
        <v>0</v>
      </c>
      <c r="G168" s="18">
        <f>VLOOKUP(A168,Uhikhinnad!$A$6:$F$156,5,FALSE)</f>
        <v>0</v>
      </c>
      <c r="H168" s="18">
        <f>VLOOKUP(A168,Uhikhinnad!$A$6:$F$156,6,FALSE)</f>
        <v>0</v>
      </c>
      <c r="I168" s="35">
        <f t="shared" si="5"/>
        <v>0</v>
      </c>
      <c r="J168" s="49"/>
      <c r="K168" s="93"/>
      <c r="L168" s="93"/>
      <c r="M168" s="93"/>
      <c r="N168" s="93"/>
    </row>
    <row r="169" spans="1:14" s="44" customFormat="1" ht="11.25">
      <c r="A169" s="52" t="s">
        <v>220</v>
      </c>
      <c r="B169" s="55" t="s">
        <v>130</v>
      </c>
      <c r="C169" s="17" t="str">
        <f>VLOOKUP(A169,Uhikhinnad!$A$6:$F$156,2,FALSE)</f>
        <v>tuletõrjevee mahuti rekonstrueerimine</v>
      </c>
      <c r="D169" s="17" t="str">
        <f>VLOOKUP(A169,Uhikhinnad!$A$6:$F$156,3,FALSE)</f>
        <v>(50-200 m3)</v>
      </c>
      <c r="E169" s="18" t="str">
        <f>VLOOKUP(A169,Uhikhinnad!$A$6:$F$156,4,FALSE)</f>
        <v>m3</v>
      </c>
      <c r="F169" s="19">
        <v>0</v>
      </c>
      <c r="G169" s="18">
        <f>VLOOKUP(A169,Uhikhinnad!$A$6:$F$156,5,FALSE)</f>
        <v>250</v>
      </c>
      <c r="H169" s="18">
        <f>VLOOKUP(A169,Uhikhinnad!$A$6:$F$156,6,FALSE)</f>
        <v>0</v>
      </c>
      <c r="I169" s="35">
        <f t="shared" si="5"/>
        <v>0</v>
      </c>
      <c r="J169" s="49"/>
      <c r="K169" s="93"/>
      <c r="L169" s="93"/>
      <c r="M169" s="93"/>
      <c r="N169" s="93"/>
    </row>
    <row r="170" spans="1:14" s="44" customFormat="1" ht="11.25">
      <c r="A170" s="52" t="s">
        <v>221</v>
      </c>
      <c r="B170" s="55" t="s">
        <v>130</v>
      </c>
      <c r="C170" s="17" t="str">
        <f>VLOOKUP(A170,Uhikhinnad!$A$6:$F$156,2,FALSE)</f>
        <v>tuletõrjevee mahuti rekonstrueerimine</v>
      </c>
      <c r="D170" s="17" t="str">
        <f>VLOOKUP(A170,Uhikhinnad!$A$6:$F$156,3,FALSE)</f>
        <v>(201 + m3)</v>
      </c>
      <c r="E170" s="18" t="str">
        <f>VLOOKUP(A170,Uhikhinnad!$A$6:$F$156,4,FALSE)</f>
        <v>m3</v>
      </c>
      <c r="F170" s="19">
        <v>0</v>
      </c>
      <c r="G170" s="18">
        <f>VLOOKUP(A170,Uhikhinnad!$A$6:$F$156,5,FALSE)</f>
        <v>0</v>
      </c>
      <c r="H170" s="18">
        <f>VLOOKUP(A170,Uhikhinnad!$A$6:$F$156,6,FALSE)</f>
        <v>0</v>
      </c>
      <c r="I170" s="35">
        <f t="shared" si="5"/>
        <v>0</v>
      </c>
      <c r="J170" s="49"/>
      <c r="K170" s="93"/>
      <c r="L170" s="93"/>
      <c r="M170" s="93"/>
      <c r="N170" s="93"/>
    </row>
    <row r="171" spans="1:14" s="44" customFormat="1" ht="11.25">
      <c r="A171" s="52">
        <v>209</v>
      </c>
      <c r="B171" s="55" t="s">
        <v>130</v>
      </c>
      <c r="C171" s="17" t="str">
        <f>VLOOKUP(A171,Uhikhinnad!$A$6:$F$156,2,FALSE)</f>
        <v>tuletõrjeveevõtu koha rajamine</v>
      </c>
      <c r="D171" s="17" t="str">
        <f>VLOOKUP(A171,Uhikhinnad!$A$6:$F$156,3,FALSE)</f>
        <v>kaldakaev </v>
      </c>
      <c r="E171" s="18" t="str">
        <f>VLOOKUP(A171,Uhikhinnad!$A$6:$F$156,4,FALSE)</f>
        <v>tk</v>
      </c>
      <c r="F171" s="19">
        <v>0</v>
      </c>
      <c r="G171" s="18">
        <f>VLOOKUP(A171,Uhikhinnad!$A$6:$F$156,5,FALSE)</f>
        <v>2000</v>
      </c>
      <c r="H171" s="18">
        <f>VLOOKUP(A171,Uhikhinnad!$A$6:$F$156,6,FALSE)</f>
        <v>0</v>
      </c>
      <c r="I171" s="35">
        <f t="shared" si="5"/>
        <v>0</v>
      </c>
      <c r="J171" s="49"/>
      <c r="K171" s="93"/>
      <c r="L171" s="93"/>
      <c r="M171" s="93"/>
      <c r="N171" s="93"/>
    </row>
    <row r="172" spans="1:10" ht="12.75" customHeight="1">
      <c r="A172" s="20"/>
      <c r="B172" s="21"/>
      <c r="C172" s="17"/>
      <c r="D172" s="17"/>
      <c r="E172" s="18"/>
      <c r="F172" s="19"/>
      <c r="G172" s="18"/>
      <c r="H172" s="18"/>
      <c r="I172" s="35"/>
      <c r="J172" s="49"/>
    </row>
    <row r="173" spans="1:10" ht="11.25">
      <c r="A173" s="52"/>
      <c r="B173" s="53"/>
      <c r="C173" s="94" t="s">
        <v>275</v>
      </c>
      <c r="D173" s="22"/>
      <c r="E173" s="49"/>
      <c r="F173" s="49"/>
      <c r="G173" s="49"/>
      <c r="H173" s="49"/>
      <c r="I173" s="62">
        <f>SUM(I174:I193)</f>
        <v>0</v>
      </c>
      <c r="J173" s="49"/>
    </row>
    <row r="174" spans="1:14" s="44" customFormat="1" ht="11.25">
      <c r="A174" s="52">
        <v>201</v>
      </c>
      <c r="B174" s="55" t="s">
        <v>129</v>
      </c>
      <c r="C174" s="17" t="str">
        <f>VLOOKUP(A174,Uhikhinnad!$A$6:$F$156,2,FALSE)</f>
        <v>veetoru</v>
      </c>
      <c r="D174" s="17">
        <f>VLOOKUP(A174,Uhikhinnad!$A$6:$F$156,3,FALSE)</f>
        <v>0</v>
      </c>
      <c r="E174" s="18" t="str">
        <f>VLOOKUP(A174,Uhikhinnad!$A$6:$F$156,4,FALSE)</f>
        <v>m</v>
      </c>
      <c r="F174" s="19">
        <v>0</v>
      </c>
      <c r="G174" s="18">
        <f>VLOOKUP(A174,Uhikhinnad!$A$6:$F$156,5,FALSE)</f>
        <v>0</v>
      </c>
      <c r="H174" s="18">
        <f>VLOOKUP(A174,Uhikhinnad!$A$6:$F$156,6,FALSE)</f>
        <v>0</v>
      </c>
      <c r="I174" s="35">
        <f aca="true" t="shared" si="6" ref="I174:I193">F174*G174+H174</f>
        <v>0</v>
      </c>
      <c r="J174" s="49"/>
      <c r="K174" s="45"/>
      <c r="L174" s="93"/>
      <c r="M174" s="93"/>
      <c r="N174" s="93"/>
    </row>
    <row r="175" spans="1:14" s="44" customFormat="1" ht="11.25">
      <c r="A175" s="52" t="s">
        <v>163</v>
      </c>
      <c r="B175" s="55" t="s">
        <v>129</v>
      </c>
      <c r="C175" s="17" t="str">
        <f>VLOOKUP(A175,Uhikhinnad!$A$6:$F$156,2,FALSE)</f>
        <v>veetoru</v>
      </c>
      <c r="D175" s="17" t="str">
        <f>VLOOKUP(A175,Uhikhinnad!$A$6:$F$156,3,FALSE)</f>
        <v>De32-De110</v>
      </c>
      <c r="E175" s="18" t="str">
        <f>VLOOKUP(A175,Uhikhinnad!$A$6:$F$156,4,FALSE)</f>
        <v>m</v>
      </c>
      <c r="F175" s="19">
        <v>0</v>
      </c>
      <c r="G175" s="18">
        <f>VLOOKUP(A175,Uhikhinnad!$A$6:$F$156,5,FALSE)</f>
        <v>120</v>
      </c>
      <c r="H175" s="18">
        <f>VLOOKUP(A175,Uhikhinnad!$A$6:$F$156,6,FALSE)</f>
        <v>0</v>
      </c>
      <c r="I175" s="35">
        <f t="shared" si="6"/>
        <v>0</v>
      </c>
      <c r="J175" s="49"/>
      <c r="K175" s="45"/>
      <c r="L175" s="93"/>
      <c r="M175" s="93"/>
      <c r="N175" s="93"/>
    </row>
    <row r="176" spans="1:14" s="44" customFormat="1" ht="11.25">
      <c r="A176" s="52" t="s">
        <v>164</v>
      </c>
      <c r="B176" s="55" t="s">
        <v>129</v>
      </c>
      <c r="C176" s="17" t="str">
        <f>VLOOKUP(A176,Uhikhinnad!$A$6:$F$156,2,FALSE)</f>
        <v>veetoru</v>
      </c>
      <c r="D176" s="17" t="str">
        <f>VLOOKUP(A176,Uhikhinnad!$A$6:$F$156,3,FALSE)</f>
        <v>De160-De315</v>
      </c>
      <c r="E176" s="18" t="str">
        <f>VLOOKUP(A176,Uhikhinnad!$A$6:$F$156,4,FALSE)</f>
        <v>m</v>
      </c>
      <c r="F176" s="19">
        <v>0</v>
      </c>
      <c r="G176" s="18">
        <f>VLOOKUP(A176,Uhikhinnad!$A$6:$F$156,5,FALSE)</f>
        <v>200</v>
      </c>
      <c r="H176" s="18">
        <f>VLOOKUP(A176,Uhikhinnad!$A$6:$F$156,6,FALSE)</f>
        <v>0</v>
      </c>
      <c r="I176" s="35">
        <f t="shared" si="6"/>
        <v>0</v>
      </c>
      <c r="J176" s="49"/>
      <c r="K176" s="45"/>
      <c r="L176" s="93"/>
      <c r="M176" s="93"/>
      <c r="N176" s="93"/>
    </row>
    <row r="177" spans="1:14" s="44" customFormat="1" ht="11.25">
      <c r="A177" s="52" t="s">
        <v>187</v>
      </c>
      <c r="B177" s="55" t="s">
        <v>129</v>
      </c>
      <c r="C177" s="17" t="str">
        <f>VLOOKUP(A177,Uhikhinnad!$A$6:$F$156,2,FALSE)</f>
        <v>veetoru</v>
      </c>
      <c r="D177" s="17" t="str">
        <f>VLOOKUP(A177,Uhikhinnad!$A$6:$F$156,3,FALSE)</f>
        <v>De32-De110</v>
      </c>
      <c r="E177" s="18" t="str">
        <f>VLOOKUP(A177,Uhikhinnad!$A$6:$F$156,4,FALSE)</f>
        <v>m</v>
      </c>
      <c r="F177" s="19">
        <v>0</v>
      </c>
      <c r="G177" s="18">
        <f>VLOOKUP(A177,Uhikhinnad!$A$6:$F$156,5,FALSE)</f>
        <v>100</v>
      </c>
      <c r="H177" s="18">
        <f>VLOOKUP(A177,Uhikhinnad!$A$6:$F$156,6,FALSE)</f>
        <v>0</v>
      </c>
      <c r="I177" s="35">
        <f t="shared" si="6"/>
        <v>0</v>
      </c>
      <c r="J177" s="49"/>
      <c r="K177" s="45"/>
      <c r="L177" s="93"/>
      <c r="M177" s="93"/>
      <c r="N177" s="93"/>
    </row>
    <row r="178" spans="1:14" s="44" customFormat="1" ht="11.25">
      <c r="A178" s="52" t="s">
        <v>239</v>
      </c>
      <c r="B178" s="55" t="s">
        <v>129</v>
      </c>
      <c r="C178" s="17" t="str">
        <f>VLOOKUP(A178,Uhikhinnad!$A$6:$F$156,2,FALSE)</f>
        <v>veetoru</v>
      </c>
      <c r="D178" s="17" t="str">
        <f>VLOOKUP(A178,Uhikhinnad!$A$6:$F$156,3,FALSE)</f>
        <v>De160-De315</v>
      </c>
      <c r="E178" s="18" t="str">
        <f>VLOOKUP(A178,Uhikhinnad!$A$6:$F$156,4,FALSE)</f>
        <v>m</v>
      </c>
      <c r="F178" s="19">
        <v>0</v>
      </c>
      <c r="G178" s="18">
        <f>VLOOKUP(A178,Uhikhinnad!$A$6:$F$156,5,FALSE)</f>
        <v>190</v>
      </c>
      <c r="H178" s="18">
        <f>VLOOKUP(A178,Uhikhinnad!$A$6:$F$156,6,FALSE)</f>
        <v>0</v>
      </c>
      <c r="I178" s="35">
        <f t="shared" si="6"/>
        <v>0</v>
      </c>
      <c r="J178" s="49"/>
      <c r="K178" s="45"/>
      <c r="L178" s="93"/>
      <c r="M178" s="93"/>
      <c r="N178" s="93"/>
    </row>
    <row r="179" spans="1:14" s="44" customFormat="1" ht="11.25">
      <c r="A179" s="52" t="s">
        <v>240</v>
      </c>
      <c r="B179" s="55" t="s">
        <v>129</v>
      </c>
      <c r="C179" s="17" t="str">
        <f>VLOOKUP(A179,Uhikhinnad!$A$6:$F$156,2,FALSE)</f>
        <v>tuletõrjevee toru</v>
      </c>
      <c r="D179" s="17" t="str">
        <f>VLOOKUP(A179,Uhikhinnad!$A$6:$F$156,3,FALSE)</f>
        <v>DN100</v>
      </c>
      <c r="E179" s="18" t="str">
        <f>VLOOKUP(A179,Uhikhinnad!$A$6:$F$156,4,FALSE)</f>
        <v>m</v>
      </c>
      <c r="F179" s="19">
        <v>0</v>
      </c>
      <c r="G179" s="18">
        <f>VLOOKUP(A179,Uhikhinnad!$A$6:$F$156,5,FALSE)</f>
        <v>120</v>
      </c>
      <c r="H179" s="18">
        <f>VLOOKUP(A179,Uhikhinnad!$A$6:$F$156,6,FALSE)</f>
        <v>0</v>
      </c>
      <c r="I179" s="35">
        <f t="shared" si="6"/>
        <v>0</v>
      </c>
      <c r="J179" s="49"/>
      <c r="K179" s="45"/>
      <c r="L179" s="93"/>
      <c r="M179" s="93"/>
      <c r="N179" s="93"/>
    </row>
    <row r="180" spans="1:14" s="44" customFormat="1" ht="11.25">
      <c r="A180" s="52">
        <v>202</v>
      </c>
      <c r="B180" s="55" t="s">
        <v>129</v>
      </c>
      <c r="C180" s="17" t="str">
        <f>VLOOKUP(A180,Uhikhinnad!$A$6:$F$156,2,FALSE)</f>
        <v>majaühendus</v>
      </c>
      <c r="D180" s="17" t="str">
        <f>VLOOKUP(A180,Uhikhinnad!$A$6:$F$156,3,FALSE)</f>
        <v>Toru, maakraan, otsakork</v>
      </c>
      <c r="E180" s="18" t="str">
        <f>VLOOKUP(A180,Uhikhinnad!$A$6:$F$156,4,FALSE)</f>
        <v>kmpl</v>
      </c>
      <c r="F180" s="19">
        <v>0</v>
      </c>
      <c r="G180" s="18">
        <f>VLOOKUP(A180,Uhikhinnad!$A$6:$F$156,5,FALSE)</f>
        <v>900</v>
      </c>
      <c r="H180" s="18">
        <f>VLOOKUP(A180,Uhikhinnad!$A$6:$F$156,6,FALSE)</f>
        <v>0</v>
      </c>
      <c r="I180" s="35">
        <f t="shared" si="6"/>
        <v>0</v>
      </c>
      <c r="J180" s="49"/>
      <c r="K180" s="45"/>
      <c r="L180" s="93"/>
      <c r="M180" s="93"/>
      <c r="N180" s="93"/>
    </row>
    <row r="181" spans="1:14" s="44" customFormat="1" ht="11.25">
      <c r="A181" s="52">
        <v>203</v>
      </c>
      <c r="B181" s="55" t="s">
        <v>129</v>
      </c>
      <c r="C181" s="17" t="str">
        <f>VLOOKUP(A181,Uhikhinnad!$A$6:$F$156,2,FALSE)</f>
        <v>hüdrant</v>
      </c>
      <c r="D181" s="17" t="str">
        <f>VLOOKUP(A181,Uhikhinnad!$A$6:$F$156,3,FALSE)</f>
        <v>DN100 ühendus</v>
      </c>
      <c r="E181" s="18" t="str">
        <f>VLOOKUP(A181,Uhikhinnad!$A$6:$F$156,4,FALSE)</f>
        <v>tk</v>
      </c>
      <c r="F181" s="19">
        <v>0</v>
      </c>
      <c r="G181" s="18">
        <f>VLOOKUP(A181,Uhikhinnad!$A$6:$F$156,5,FALSE)</f>
        <v>1900</v>
      </c>
      <c r="H181" s="18">
        <f>VLOOKUP(A181,Uhikhinnad!$A$6:$F$156,6,FALSE)</f>
        <v>0</v>
      </c>
      <c r="I181" s="35">
        <f t="shared" si="6"/>
        <v>0</v>
      </c>
      <c r="J181" s="49"/>
      <c r="K181" s="45"/>
      <c r="L181" s="93"/>
      <c r="M181" s="93"/>
      <c r="N181" s="93"/>
    </row>
    <row r="182" spans="1:14" s="44" customFormat="1" ht="11.25">
      <c r="A182" s="52">
        <v>204</v>
      </c>
      <c r="B182" s="55" t="s">
        <v>129</v>
      </c>
      <c r="C182" s="17" t="str">
        <f>VLOOKUP(A182,Uhikhinnad!$A$6:$F$156,2,FALSE)</f>
        <v>plastikust siibri/veemõõtja kaev </v>
      </c>
      <c r="D182" s="17" t="str">
        <f>VLOOKUP(A182,Uhikhinnad!$A$6:$F$156,3,FALSE)</f>
        <v>D1500mm</v>
      </c>
      <c r="E182" s="18" t="str">
        <f>VLOOKUP(A182,Uhikhinnad!$A$6:$F$156,4,FALSE)</f>
        <v>tk</v>
      </c>
      <c r="F182" s="19">
        <v>0</v>
      </c>
      <c r="G182" s="18">
        <f>VLOOKUP(A182,Uhikhinnad!$A$6:$F$156,5,FALSE)</f>
        <v>20000</v>
      </c>
      <c r="H182" s="18">
        <f>VLOOKUP(A182,Uhikhinnad!$A$6:$F$156,6,FALSE)</f>
        <v>0</v>
      </c>
      <c r="I182" s="35">
        <f t="shared" si="6"/>
        <v>0</v>
      </c>
      <c r="J182" s="49"/>
      <c r="K182" s="45"/>
      <c r="L182" s="93"/>
      <c r="M182" s="93"/>
      <c r="N182" s="93"/>
    </row>
    <row r="183" spans="1:14" s="44" customFormat="1" ht="11.25">
      <c r="A183" s="52">
        <v>205</v>
      </c>
      <c r="B183" s="55" t="s">
        <v>129</v>
      </c>
      <c r="C183" s="17" t="str">
        <f>VLOOKUP(A183,Uhikhinnad!$A$6:$F$156,2,FALSE)</f>
        <v>muu veevõrgu seade</v>
      </c>
      <c r="D183" s="17">
        <f>VLOOKUP(A183,Uhikhinnad!$A$6:$F$156,3,FALSE)</f>
        <v>0</v>
      </c>
      <c r="E183" s="18" t="str">
        <f>VLOOKUP(A183,Uhikhinnad!$A$6:$F$156,4,FALSE)</f>
        <v>tk</v>
      </c>
      <c r="F183" s="19">
        <v>0</v>
      </c>
      <c r="G183" s="18">
        <f>VLOOKUP(A183,Uhikhinnad!$A$6:$F$156,5,FALSE)</f>
        <v>1500</v>
      </c>
      <c r="H183" s="18">
        <f>VLOOKUP(A183,Uhikhinnad!$A$6:$F$156,6,FALSE)</f>
        <v>0</v>
      </c>
      <c r="I183" s="35">
        <f t="shared" si="6"/>
        <v>0</v>
      </c>
      <c r="J183" s="49"/>
      <c r="K183" s="45"/>
      <c r="L183" s="93"/>
      <c r="M183" s="93"/>
      <c r="N183" s="93"/>
    </row>
    <row r="184" spans="1:14" s="44" customFormat="1" ht="11.25">
      <c r="A184" s="52">
        <v>206</v>
      </c>
      <c r="B184" s="55" t="s">
        <v>129</v>
      </c>
      <c r="C184" s="17" t="str">
        <f>VLOOKUP(A184,Uhikhinnad!$A$6:$F$156,2,FALSE)</f>
        <v>siibrite automaatjuhtimine</v>
      </c>
      <c r="D184" s="17" t="str">
        <f>VLOOKUP(A184,Uhikhinnad!$A$6:$F$156,3,FALSE)</f>
        <v>seadmed ja programmeerimine</v>
      </c>
      <c r="E184" s="18" t="str">
        <f>VLOOKUP(A184,Uhikhinnad!$A$6:$F$156,4,FALSE)</f>
        <v>tk</v>
      </c>
      <c r="F184" s="19">
        <v>0</v>
      </c>
      <c r="G184" s="18">
        <f>VLOOKUP(A184,Uhikhinnad!$A$6:$F$156,5,FALSE)</f>
        <v>6000</v>
      </c>
      <c r="H184" s="18">
        <f>VLOOKUP(A184,Uhikhinnad!$A$6:$F$156,6,FALSE)</f>
        <v>0</v>
      </c>
      <c r="I184" s="35">
        <f t="shared" si="6"/>
        <v>0</v>
      </c>
      <c r="J184" s="49"/>
      <c r="K184" s="45"/>
      <c r="L184" s="93"/>
      <c r="M184" s="93"/>
      <c r="N184" s="93"/>
    </row>
    <row r="185" spans="1:14" s="44" customFormat="1" ht="11.25">
      <c r="A185" s="52">
        <v>207</v>
      </c>
      <c r="B185" s="55" t="s">
        <v>129</v>
      </c>
      <c r="C185" s="17" t="str">
        <f>VLOOKUP(A185,Uhikhinnad!$A$6:$F$156,2,FALSE)</f>
        <v>tuletõrjevee mahuti rajamine</v>
      </c>
      <c r="D185" s="17">
        <f>VLOOKUP(A185,Uhikhinnad!$A$6:$F$156,3,FALSE)</f>
        <v>0</v>
      </c>
      <c r="E185" s="18">
        <f>VLOOKUP(A185,Uhikhinnad!$A$6:$F$156,4,FALSE)</f>
        <v>0</v>
      </c>
      <c r="F185" s="19">
        <v>0</v>
      </c>
      <c r="G185" s="18">
        <f>VLOOKUP(A185,Uhikhinnad!$A$6:$F$156,5,FALSE)</f>
        <v>0</v>
      </c>
      <c r="H185" s="18">
        <f>VLOOKUP(A185,Uhikhinnad!$A$6:$F$156,6,FALSE)</f>
        <v>0</v>
      </c>
      <c r="I185" s="35">
        <f t="shared" si="6"/>
        <v>0</v>
      </c>
      <c r="J185" s="49"/>
      <c r="K185" s="45"/>
      <c r="L185" s="93"/>
      <c r="M185" s="93"/>
      <c r="N185" s="93"/>
    </row>
    <row r="186" spans="1:14" s="44" customFormat="1" ht="11.25">
      <c r="A186" s="52" t="s">
        <v>216</v>
      </c>
      <c r="B186" s="55" t="s">
        <v>129</v>
      </c>
      <c r="C186" s="17" t="str">
        <f>VLOOKUP(A186,Uhikhinnad!$A$6:$F$156,2,FALSE)</f>
        <v>tuletõrjevee mahuti rajamine</v>
      </c>
      <c r="D186" s="17" t="str">
        <f>VLOOKUP(A186,Uhikhinnad!$A$6:$F$156,3,FALSE)</f>
        <v>plast (50 - 200 m3)</v>
      </c>
      <c r="E186" s="18" t="str">
        <f>VLOOKUP(A186,Uhikhinnad!$A$6:$F$156,4,FALSE)</f>
        <v>m3</v>
      </c>
      <c r="F186" s="19">
        <v>0</v>
      </c>
      <c r="G186" s="18">
        <f>VLOOKUP(A186,Uhikhinnad!$A$6:$F$156,5,FALSE)</f>
        <v>0</v>
      </c>
      <c r="H186" s="18">
        <f>VLOOKUP(A186,Uhikhinnad!$A$6:$F$156,6,FALSE)</f>
        <v>0</v>
      </c>
      <c r="I186" s="35">
        <f t="shared" si="6"/>
        <v>0</v>
      </c>
      <c r="J186" s="49"/>
      <c r="K186" s="93"/>
      <c r="L186" s="93"/>
      <c r="M186" s="93"/>
      <c r="N186" s="93"/>
    </row>
    <row r="187" spans="1:14" s="44" customFormat="1" ht="11.25">
      <c r="A187" s="52" t="s">
        <v>217</v>
      </c>
      <c r="B187" s="55" t="s">
        <v>129</v>
      </c>
      <c r="C187" s="17" t="str">
        <f>VLOOKUP(A187,Uhikhinnad!$A$6:$F$156,2,FALSE)</f>
        <v>tuletõrjevee mahuti rajamine</v>
      </c>
      <c r="D187" s="17" t="str">
        <f>VLOOKUP(A187,Uhikhinnad!$A$6:$F$156,3,FALSE)</f>
        <v>plast (201 + m3)</v>
      </c>
      <c r="E187" s="18" t="str">
        <f>VLOOKUP(A187,Uhikhinnad!$A$6:$F$156,4,FALSE)</f>
        <v>m3</v>
      </c>
      <c r="F187" s="19">
        <v>0</v>
      </c>
      <c r="G187" s="18">
        <f>VLOOKUP(A187,Uhikhinnad!$A$6:$F$156,5,FALSE)</f>
        <v>0</v>
      </c>
      <c r="H187" s="18">
        <f>VLOOKUP(A187,Uhikhinnad!$A$6:$F$156,6,FALSE)</f>
        <v>0</v>
      </c>
      <c r="I187" s="35">
        <f t="shared" si="6"/>
        <v>0</v>
      </c>
      <c r="J187" s="49"/>
      <c r="K187" s="45"/>
      <c r="L187" s="93"/>
      <c r="M187" s="93"/>
      <c r="N187" s="93"/>
    </row>
    <row r="188" spans="1:14" s="44" customFormat="1" ht="11.25">
      <c r="A188" s="52" t="s">
        <v>218</v>
      </c>
      <c r="B188" s="55" t="s">
        <v>129</v>
      </c>
      <c r="C188" s="17" t="str">
        <f>VLOOKUP(A188,Uhikhinnad!$A$6:$F$156,2,FALSE)</f>
        <v>tuletõrjevee mahuti rajamine</v>
      </c>
      <c r="D188" s="17" t="str">
        <f>VLOOKUP(A188,Uhikhinnad!$A$6:$F$156,3,FALSE)</f>
        <v>betoon (50 - 200 m3)</v>
      </c>
      <c r="E188" s="18" t="str">
        <f>VLOOKUP(A188,Uhikhinnad!$A$6:$F$156,4,FALSE)</f>
        <v>m3</v>
      </c>
      <c r="F188" s="19">
        <v>0</v>
      </c>
      <c r="G188" s="18">
        <f>VLOOKUP(A188,Uhikhinnad!$A$6:$F$156,5,FALSE)</f>
        <v>570</v>
      </c>
      <c r="H188" s="18">
        <f>VLOOKUP(A188,Uhikhinnad!$A$6:$F$156,6,FALSE)</f>
        <v>0</v>
      </c>
      <c r="I188" s="35">
        <f t="shared" si="6"/>
        <v>0</v>
      </c>
      <c r="J188" s="49"/>
      <c r="L188" s="93"/>
      <c r="M188" s="93"/>
      <c r="N188" s="93"/>
    </row>
    <row r="189" spans="1:14" s="44" customFormat="1" ht="11.25">
      <c r="A189" s="52" t="s">
        <v>219</v>
      </c>
      <c r="B189" s="55" t="s">
        <v>129</v>
      </c>
      <c r="C189" s="17" t="str">
        <f>VLOOKUP(A189,Uhikhinnad!$A$6:$F$156,2,FALSE)</f>
        <v>tuletõrjevee mahuti rajamine</v>
      </c>
      <c r="D189" s="17" t="str">
        <f>VLOOKUP(A189,Uhikhinnad!$A$6:$F$156,3,FALSE)</f>
        <v>betoon (201 + m3)</v>
      </c>
      <c r="E189" s="18" t="str">
        <f>VLOOKUP(A189,Uhikhinnad!$A$6:$F$156,4,FALSE)</f>
        <v>m3</v>
      </c>
      <c r="F189" s="19">
        <v>0</v>
      </c>
      <c r="G189" s="18">
        <f>VLOOKUP(A189,Uhikhinnad!$A$6:$F$156,5,FALSE)</f>
        <v>450</v>
      </c>
      <c r="H189" s="18">
        <f>VLOOKUP(A189,Uhikhinnad!$A$6:$F$156,6,FALSE)</f>
        <v>0</v>
      </c>
      <c r="I189" s="35">
        <f t="shared" si="6"/>
        <v>0</v>
      </c>
      <c r="J189" s="49"/>
      <c r="L189" s="93"/>
      <c r="M189" s="93"/>
      <c r="N189" s="93"/>
    </row>
    <row r="190" spans="1:14" s="44" customFormat="1" ht="11.25">
      <c r="A190" s="52">
        <v>208</v>
      </c>
      <c r="B190" s="55" t="s">
        <v>129</v>
      </c>
      <c r="C190" s="17" t="str">
        <f>VLOOKUP(A190,Uhikhinnad!$A$6:$F$156,2,FALSE)</f>
        <v>tuletõrjevee mahuti rekonstrueerimine</v>
      </c>
      <c r="D190" s="17">
        <f>VLOOKUP(A190,Uhikhinnad!$A$6:$F$156,3,FALSE)</f>
        <v>0</v>
      </c>
      <c r="E190" s="18">
        <f>VLOOKUP(A190,Uhikhinnad!$A$6:$F$156,4,FALSE)</f>
        <v>0</v>
      </c>
      <c r="F190" s="19">
        <v>0</v>
      </c>
      <c r="G190" s="18">
        <f>VLOOKUP(A190,Uhikhinnad!$A$6:$F$156,5,FALSE)</f>
        <v>0</v>
      </c>
      <c r="H190" s="18">
        <f>VLOOKUP(A190,Uhikhinnad!$A$6:$F$156,6,FALSE)</f>
        <v>0</v>
      </c>
      <c r="I190" s="35">
        <f t="shared" si="6"/>
        <v>0</v>
      </c>
      <c r="J190" s="49"/>
      <c r="L190" s="93"/>
      <c r="M190" s="93"/>
      <c r="N190" s="93"/>
    </row>
    <row r="191" spans="1:14" s="44" customFormat="1" ht="11.25">
      <c r="A191" s="52" t="s">
        <v>220</v>
      </c>
      <c r="B191" s="55" t="s">
        <v>129</v>
      </c>
      <c r="C191" s="17" t="str">
        <f>VLOOKUP(A191,Uhikhinnad!$A$6:$F$156,2,FALSE)</f>
        <v>tuletõrjevee mahuti rekonstrueerimine</v>
      </c>
      <c r="D191" s="17" t="str">
        <f>VLOOKUP(A191,Uhikhinnad!$A$6:$F$156,3,FALSE)</f>
        <v>(50-200 m3)</v>
      </c>
      <c r="E191" s="18" t="str">
        <f>VLOOKUP(A191,Uhikhinnad!$A$6:$F$156,4,FALSE)</f>
        <v>m3</v>
      </c>
      <c r="F191" s="19">
        <v>0</v>
      </c>
      <c r="G191" s="18">
        <f>VLOOKUP(A191,Uhikhinnad!$A$6:$F$156,5,FALSE)</f>
        <v>250</v>
      </c>
      <c r="H191" s="18">
        <f>VLOOKUP(A191,Uhikhinnad!$A$6:$F$156,6,FALSE)</f>
        <v>0</v>
      </c>
      <c r="I191" s="35">
        <f t="shared" si="6"/>
        <v>0</v>
      </c>
      <c r="J191" s="49"/>
      <c r="L191" s="93"/>
      <c r="M191" s="93"/>
      <c r="N191" s="93"/>
    </row>
    <row r="192" spans="1:14" s="44" customFormat="1" ht="11.25">
      <c r="A192" s="52" t="s">
        <v>221</v>
      </c>
      <c r="B192" s="55" t="s">
        <v>129</v>
      </c>
      <c r="C192" s="17" t="str">
        <f>VLOOKUP(A192,Uhikhinnad!$A$6:$F$156,2,FALSE)</f>
        <v>tuletõrjevee mahuti rekonstrueerimine</v>
      </c>
      <c r="D192" s="17" t="str">
        <f>VLOOKUP(A192,Uhikhinnad!$A$6:$F$156,3,FALSE)</f>
        <v>(201 + m3)</v>
      </c>
      <c r="E192" s="18" t="str">
        <f>VLOOKUP(A192,Uhikhinnad!$A$6:$F$156,4,FALSE)</f>
        <v>m3</v>
      </c>
      <c r="F192" s="19">
        <v>0</v>
      </c>
      <c r="G192" s="18">
        <f>VLOOKUP(A192,Uhikhinnad!$A$6:$F$156,5,FALSE)</f>
        <v>0</v>
      </c>
      <c r="H192" s="18">
        <f>VLOOKUP(A192,Uhikhinnad!$A$6:$F$156,6,FALSE)</f>
        <v>0</v>
      </c>
      <c r="I192" s="35">
        <f t="shared" si="6"/>
        <v>0</v>
      </c>
      <c r="J192" s="49"/>
      <c r="L192" s="93"/>
      <c r="M192" s="93"/>
      <c r="N192" s="93"/>
    </row>
    <row r="193" spans="1:14" s="44" customFormat="1" ht="11.25">
      <c r="A193" s="52">
        <v>209</v>
      </c>
      <c r="B193" s="55" t="s">
        <v>129</v>
      </c>
      <c r="C193" s="17" t="str">
        <f>VLOOKUP(A193,Uhikhinnad!$A$6:$F$156,2,FALSE)</f>
        <v>tuletõrjeveevõtu koha rajamine</v>
      </c>
      <c r="D193" s="17" t="str">
        <f>VLOOKUP(A193,Uhikhinnad!$A$6:$F$156,3,FALSE)</f>
        <v>kaldakaev </v>
      </c>
      <c r="E193" s="18" t="str">
        <f>VLOOKUP(A193,Uhikhinnad!$A$6:$F$156,4,FALSE)</f>
        <v>tk</v>
      </c>
      <c r="F193" s="19">
        <v>0</v>
      </c>
      <c r="G193" s="18">
        <f>VLOOKUP(A193,Uhikhinnad!$A$6:$F$156,5,FALSE)</f>
        <v>2000</v>
      </c>
      <c r="H193" s="18">
        <f>VLOOKUP(A193,Uhikhinnad!$A$6:$F$156,6,FALSE)</f>
        <v>0</v>
      </c>
      <c r="I193" s="35">
        <f t="shared" si="6"/>
        <v>0</v>
      </c>
      <c r="J193" s="49"/>
      <c r="L193" s="93"/>
      <c r="M193" s="93"/>
      <c r="N193" s="93"/>
    </row>
    <row r="194" spans="1:10" ht="11.25">
      <c r="A194" s="52"/>
      <c r="B194" s="53"/>
      <c r="C194" s="13"/>
      <c r="D194" s="14"/>
      <c r="E194" s="15"/>
      <c r="F194" s="16"/>
      <c r="G194" s="15"/>
      <c r="H194" s="15"/>
      <c r="I194" s="36"/>
      <c r="J194" s="49"/>
    </row>
    <row r="195" spans="1:10" ht="11.25">
      <c r="A195" s="52"/>
      <c r="B195" s="53"/>
      <c r="C195" s="13"/>
      <c r="D195" s="14"/>
      <c r="E195" s="15"/>
      <c r="F195" s="16"/>
      <c r="G195" s="15"/>
      <c r="H195" s="15"/>
      <c r="I195" s="36"/>
      <c r="J195" s="49"/>
    </row>
    <row r="196" spans="1:10" ht="11.25">
      <c r="A196" s="52"/>
      <c r="B196" s="53"/>
      <c r="C196" s="13" t="s">
        <v>82</v>
      </c>
      <c r="D196" s="14"/>
      <c r="E196" s="15"/>
      <c r="F196" s="16"/>
      <c r="G196" s="15"/>
      <c r="H196" s="15"/>
      <c r="I196" s="36"/>
      <c r="J196" s="49"/>
    </row>
    <row r="197" spans="1:10" ht="11.25">
      <c r="A197" s="52"/>
      <c r="B197" s="53"/>
      <c r="C197" s="94" t="s">
        <v>274</v>
      </c>
      <c r="D197" s="14"/>
      <c r="E197" s="15"/>
      <c r="F197" s="16"/>
      <c r="G197" s="15"/>
      <c r="H197" s="15"/>
      <c r="I197" s="62">
        <f>SUM(I198:I217)</f>
        <v>0</v>
      </c>
      <c r="J197" s="49"/>
    </row>
    <row r="198" spans="1:14" s="44" customFormat="1" ht="11.25">
      <c r="A198" s="52">
        <v>201</v>
      </c>
      <c r="B198" s="55" t="s">
        <v>130</v>
      </c>
      <c r="C198" s="17" t="str">
        <f>VLOOKUP(A198,Uhikhinnad!$A$6:$F$156,2,FALSE)</f>
        <v>veetoru</v>
      </c>
      <c r="D198" s="17">
        <f>VLOOKUP(A198,Uhikhinnad!$A$6:$F$156,3,FALSE)</f>
        <v>0</v>
      </c>
      <c r="E198" s="18" t="str">
        <f>VLOOKUP(A198,Uhikhinnad!$A$6:$F$156,4,FALSE)</f>
        <v>m</v>
      </c>
      <c r="F198" s="19">
        <v>0</v>
      </c>
      <c r="G198" s="18">
        <f>VLOOKUP(A198,Uhikhinnad!$A$6:$F$156,5,FALSE)</f>
        <v>0</v>
      </c>
      <c r="H198" s="18">
        <f>VLOOKUP(A198,Uhikhinnad!$A$6:$F$156,6,FALSE)</f>
        <v>0</v>
      </c>
      <c r="I198" s="35">
        <f>F198*G198+H198</f>
        <v>0</v>
      </c>
      <c r="J198" s="49"/>
      <c r="L198" s="93"/>
      <c r="M198" s="93"/>
      <c r="N198" s="93"/>
    </row>
    <row r="199" spans="1:14" s="44" customFormat="1" ht="11.25">
      <c r="A199" s="52" t="s">
        <v>163</v>
      </c>
      <c r="B199" s="55" t="s">
        <v>130</v>
      </c>
      <c r="C199" s="17" t="str">
        <f>VLOOKUP(A199,Uhikhinnad!$A$6:$F$156,2,FALSE)</f>
        <v>veetoru</v>
      </c>
      <c r="D199" s="17" t="str">
        <f>VLOOKUP(A199,Uhikhinnad!$A$6:$F$156,3,FALSE)</f>
        <v>De32-De110</v>
      </c>
      <c r="E199" s="18" t="str">
        <f>VLOOKUP(A199,Uhikhinnad!$A$6:$F$156,4,FALSE)</f>
        <v>m</v>
      </c>
      <c r="F199" s="19">
        <v>0</v>
      </c>
      <c r="G199" s="18">
        <f>VLOOKUP(A199,Uhikhinnad!$A$6:$F$156,5,FALSE)</f>
        <v>120</v>
      </c>
      <c r="H199" s="18">
        <f>VLOOKUP(A199,Uhikhinnad!$A$6:$F$156,6,FALSE)</f>
        <v>0</v>
      </c>
      <c r="I199" s="35">
        <f aca="true" t="shared" si="7" ref="I199:I217">F199*G199+H199</f>
        <v>0</v>
      </c>
      <c r="J199" s="49"/>
      <c r="L199" s="93"/>
      <c r="M199" s="93"/>
      <c r="N199" s="93"/>
    </row>
    <row r="200" spans="1:14" s="44" customFormat="1" ht="11.25">
      <c r="A200" s="52" t="s">
        <v>164</v>
      </c>
      <c r="B200" s="55" t="s">
        <v>130</v>
      </c>
      <c r="C200" s="17" t="str">
        <f>VLOOKUP(A200,Uhikhinnad!$A$6:$F$156,2,FALSE)</f>
        <v>veetoru</v>
      </c>
      <c r="D200" s="17" t="str">
        <f>VLOOKUP(A200,Uhikhinnad!$A$6:$F$156,3,FALSE)</f>
        <v>De160-De315</v>
      </c>
      <c r="E200" s="18" t="str">
        <f>VLOOKUP(A200,Uhikhinnad!$A$6:$F$156,4,FALSE)</f>
        <v>m</v>
      </c>
      <c r="F200" s="19">
        <v>0</v>
      </c>
      <c r="G200" s="18">
        <f>VLOOKUP(A200,Uhikhinnad!$A$6:$F$156,5,FALSE)</f>
        <v>200</v>
      </c>
      <c r="H200" s="18">
        <f>VLOOKUP(A200,Uhikhinnad!$A$6:$F$156,6,FALSE)</f>
        <v>0</v>
      </c>
      <c r="I200" s="35">
        <f t="shared" si="7"/>
        <v>0</v>
      </c>
      <c r="J200" s="49"/>
      <c r="L200" s="93"/>
      <c r="M200" s="93"/>
      <c r="N200" s="93"/>
    </row>
    <row r="201" spans="1:14" s="44" customFormat="1" ht="11.25">
      <c r="A201" s="52" t="s">
        <v>187</v>
      </c>
      <c r="B201" s="55" t="s">
        <v>130</v>
      </c>
      <c r="C201" s="17" t="str">
        <f>VLOOKUP(A201,Uhikhinnad!$A$6:$F$156,2,FALSE)</f>
        <v>veetoru</v>
      </c>
      <c r="D201" s="17" t="str">
        <f>VLOOKUP(A201,Uhikhinnad!$A$6:$F$156,3,FALSE)</f>
        <v>De32-De110</v>
      </c>
      <c r="E201" s="18" t="str">
        <f>VLOOKUP(A201,Uhikhinnad!$A$6:$F$156,4,FALSE)</f>
        <v>m</v>
      </c>
      <c r="F201" s="19">
        <v>0</v>
      </c>
      <c r="G201" s="18">
        <f>VLOOKUP(A201,Uhikhinnad!$A$6:$F$156,5,FALSE)</f>
        <v>100</v>
      </c>
      <c r="H201" s="18">
        <f>VLOOKUP(A201,Uhikhinnad!$A$6:$F$156,6,FALSE)</f>
        <v>0</v>
      </c>
      <c r="I201" s="35">
        <f t="shared" si="7"/>
        <v>0</v>
      </c>
      <c r="J201" s="49"/>
      <c r="K201" s="93"/>
      <c r="L201" s="93"/>
      <c r="M201" s="93"/>
      <c r="N201" s="93"/>
    </row>
    <row r="202" spans="1:14" s="44" customFormat="1" ht="11.25">
      <c r="A202" s="52" t="s">
        <v>239</v>
      </c>
      <c r="B202" s="55" t="s">
        <v>130</v>
      </c>
      <c r="C202" s="17" t="str">
        <f>VLOOKUP(A202,Uhikhinnad!$A$6:$F$156,2,FALSE)</f>
        <v>veetoru</v>
      </c>
      <c r="D202" s="17" t="str">
        <f>VLOOKUP(A202,Uhikhinnad!$A$6:$F$156,3,FALSE)</f>
        <v>De160-De315</v>
      </c>
      <c r="E202" s="18" t="str">
        <f>VLOOKUP(A202,Uhikhinnad!$A$6:$F$156,4,FALSE)</f>
        <v>m</v>
      </c>
      <c r="F202" s="19">
        <v>0</v>
      </c>
      <c r="G202" s="18">
        <f>VLOOKUP(A202,Uhikhinnad!$A$6:$F$156,5,FALSE)</f>
        <v>190</v>
      </c>
      <c r="H202" s="18">
        <f>VLOOKUP(A202,Uhikhinnad!$A$6:$F$156,6,FALSE)</f>
        <v>0</v>
      </c>
      <c r="I202" s="35">
        <f t="shared" si="7"/>
        <v>0</v>
      </c>
      <c r="J202" s="49"/>
      <c r="K202" s="93"/>
      <c r="L202" s="93"/>
      <c r="M202" s="93"/>
      <c r="N202" s="93"/>
    </row>
    <row r="203" spans="1:14" s="44" customFormat="1" ht="11.25">
      <c r="A203" s="52" t="s">
        <v>240</v>
      </c>
      <c r="B203" s="55" t="s">
        <v>130</v>
      </c>
      <c r="C203" s="17" t="str">
        <f>VLOOKUP(A203,Uhikhinnad!$A$6:$F$156,2,FALSE)</f>
        <v>tuletõrjevee toru</v>
      </c>
      <c r="D203" s="17" t="str">
        <f>VLOOKUP(A203,Uhikhinnad!$A$6:$F$156,3,FALSE)</f>
        <v>DN100</v>
      </c>
      <c r="E203" s="18" t="str">
        <f>VLOOKUP(A203,Uhikhinnad!$A$6:$F$156,4,FALSE)</f>
        <v>m</v>
      </c>
      <c r="F203" s="19">
        <v>0</v>
      </c>
      <c r="G203" s="18">
        <f>VLOOKUP(A203,Uhikhinnad!$A$6:$F$156,5,FALSE)</f>
        <v>120</v>
      </c>
      <c r="H203" s="18">
        <f>VLOOKUP(A203,Uhikhinnad!$A$6:$F$156,6,FALSE)</f>
        <v>0</v>
      </c>
      <c r="I203" s="35">
        <f t="shared" si="7"/>
        <v>0</v>
      </c>
      <c r="J203" s="49"/>
      <c r="K203" s="93"/>
      <c r="L203" s="93"/>
      <c r="M203" s="93"/>
      <c r="N203" s="93"/>
    </row>
    <row r="204" spans="1:14" s="44" customFormat="1" ht="11.25">
      <c r="A204" s="52">
        <v>202</v>
      </c>
      <c r="B204" s="55" t="s">
        <v>130</v>
      </c>
      <c r="C204" s="17" t="str">
        <f>VLOOKUP(A204,Uhikhinnad!$A$6:$F$156,2,FALSE)</f>
        <v>majaühendus</v>
      </c>
      <c r="D204" s="17" t="str">
        <f>VLOOKUP(A204,Uhikhinnad!$A$6:$F$156,3,FALSE)</f>
        <v>Toru, maakraan, otsakork</v>
      </c>
      <c r="E204" s="18" t="str">
        <f>VLOOKUP(A204,Uhikhinnad!$A$6:$F$156,4,FALSE)</f>
        <v>kmpl</v>
      </c>
      <c r="F204" s="19">
        <v>0</v>
      </c>
      <c r="G204" s="18">
        <f>VLOOKUP(A204,Uhikhinnad!$A$6:$F$156,5,FALSE)</f>
        <v>900</v>
      </c>
      <c r="H204" s="18">
        <f>VLOOKUP(A204,Uhikhinnad!$A$6:$F$156,6,FALSE)</f>
        <v>0</v>
      </c>
      <c r="I204" s="35">
        <f t="shared" si="7"/>
        <v>0</v>
      </c>
      <c r="J204" s="49"/>
      <c r="K204" s="93"/>
      <c r="L204" s="93"/>
      <c r="M204" s="93"/>
      <c r="N204" s="93"/>
    </row>
    <row r="205" spans="1:14" s="44" customFormat="1" ht="11.25">
      <c r="A205" s="52">
        <v>203</v>
      </c>
      <c r="B205" s="55" t="s">
        <v>130</v>
      </c>
      <c r="C205" s="17" t="str">
        <f>VLOOKUP(A205,Uhikhinnad!$A$6:$F$156,2,FALSE)</f>
        <v>hüdrant</v>
      </c>
      <c r="D205" s="17" t="str">
        <f>VLOOKUP(A205,Uhikhinnad!$A$6:$F$156,3,FALSE)</f>
        <v>DN100 ühendus</v>
      </c>
      <c r="E205" s="18" t="str">
        <f>VLOOKUP(A205,Uhikhinnad!$A$6:$F$156,4,FALSE)</f>
        <v>tk</v>
      </c>
      <c r="F205" s="19">
        <v>0</v>
      </c>
      <c r="G205" s="18">
        <f>VLOOKUP(A205,Uhikhinnad!$A$6:$F$156,5,FALSE)</f>
        <v>1900</v>
      </c>
      <c r="H205" s="18">
        <f>VLOOKUP(A205,Uhikhinnad!$A$6:$F$156,6,FALSE)</f>
        <v>0</v>
      </c>
      <c r="I205" s="35">
        <f t="shared" si="7"/>
        <v>0</v>
      </c>
      <c r="J205" s="49"/>
      <c r="K205" s="93"/>
      <c r="L205" s="93"/>
      <c r="M205" s="93"/>
      <c r="N205" s="93"/>
    </row>
    <row r="206" spans="1:14" s="44" customFormat="1" ht="11.25">
      <c r="A206" s="52">
        <v>204</v>
      </c>
      <c r="B206" s="55" t="s">
        <v>130</v>
      </c>
      <c r="C206" s="17" t="str">
        <f>VLOOKUP(A206,Uhikhinnad!$A$6:$F$156,2,FALSE)</f>
        <v>plastikust siibri/veemõõtja kaev </v>
      </c>
      <c r="D206" s="17" t="str">
        <f>VLOOKUP(A206,Uhikhinnad!$A$6:$F$156,3,FALSE)</f>
        <v>D1500mm</v>
      </c>
      <c r="E206" s="18" t="str">
        <f>VLOOKUP(A206,Uhikhinnad!$A$6:$F$156,4,FALSE)</f>
        <v>tk</v>
      </c>
      <c r="F206" s="19">
        <v>0</v>
      </c>
      <c r="G206" s="18">
        <f>VLOOKUP(A206,Uhikhinnad!$A$6:$F$156,5,FALSE)</f>
        <v>20000</v>
      </c>
      <c r="H206" s="18">
        <f>VLOOKUP(A206,Uhikhinnad!$A$6:$F$156,6,FALSE)</f>
        <v>0</v>
      </c>
      <c r="I206" s="35">
        <f t="shared" si="7"/>
        <v>0</v>
      </c>
      <c r="J206" s="49"/>
      <c r="K206" s="93"/>
      <c r="L206" s="93"/>
      <c r="M206" s="93"/>
      <c r="N206" s="93"/>
    </row>
    <row r="207" spans="1:14" s="44" customFormat="1" ht="11.25">
      <c r="A207" s="52">
        <v>205</v>
      </c>
      <c r="B207" s="55" t="s">
        <v>130</v>
      </c>
      <c r="C207" s="17" t="str">
        <f>VLOOKUP(A207,Uhikhinnad!$A$6:$F$156,2,FALSE)</f>
        <v>muu veevõrgu seade</v>
      </c>
      <c r="D207" s="17">
        <f>VLOOKUP(A207,Uhikhinnad!$A$6:$F$156,3,FALSE)</f>
        <v>0</v>
      </c>
      <c r="E207" s="18" t="str">
        <f>VLOOKUP(A207,Uhikhinnad!$A$6:$F$156,4,FALSE)</f>
        <v>tk</v>
      </c>
      <c r="F207" s="19">
        <v>0</v>
      </c>
      <c r="G207" s="18">
        <f>VLOOKUP(A207,Uhikhinnad!$A$6:$F$156,5,FALSE)</f>
        <v>1500</v>
      </c>
      <c r="H207" s="18">
        <f>VLOOKUP(A207,Uhikhinnad!$A$6:$F$156,6,FALSE)</f>
        <v>0</v>
      </c>
      <c r="I207" s="35">
        <f t="shared" si="7"/>
        <v>0</v>
      </c>
      <c r="J207" s="49"/>
      <c r="K207" s="93"/>
      <c r="L207" s="93"/>
      <c r="M207" s="93"/>
      <c r="N207" s="93"/>
    </row>
    <row r="208" spans="1:14" s="44" customFormat="1" ht="11.25">
      <c r="A208" s="52">
        <v>206</v>
      </c>
      <c r="B208" s="55" t="s">
        <v>130</v>
      </c>
      <c r="C208" s="17" t="str">
        <f>VLOOKUP(A208,Uhikhinnad!$A$6:$F$156,2,FALSE)</f>
        <v>siibrite automaatjuhtimine</v>
      </c>
      <c r="D208" s="17" t="str">
        <f>VLOOKUP(A208,Uhikhinnad!$A$6:$F$156,3,FALSE)</f>
        <v>seadmed ja programmeerimine</v>
      </c>
      <c r="E208" s="18" t="str">
        <f>VLOOKUP(A208,Uhikhinnad!$A$6:$F$156,4,FALSE)</f>
        <v>tk</v>
      </c>
      <c r="F208" s="19">
        <v>0</v>
      </c>
      <c r="G208" s="18">
        <f>VLOOKUP(A208,Uhikhinnad!$A$6:$F$156,5,FALSE)</f>
        <v>6000</v>
      </c>
      <c r="H208" s="18">
        <f>VLOOKUP(A208,Uhikhinnad!$A$6:$F$156,6,FALSE)</f>
        <v>0</v>
      </c>
      <c r="I208" s="35">
        <f t="shared" si="7"/>
        <v>0</v>
      </c>
      <c r="J208" s="49"/>
      <c r="K208" s="93"/>
      <c r="L208" s="93"/>
      <c r="M208" s="93"/>
      <c r="N208" s="93"/>
    </row>
    <row r="209" spans="1:14" s="44" customFormat="1" ht="11.25">
      <c r="A209" s="52">
        <v>207</v>
      </c>
      <c r="B209" s="55" t="s">
        <v>130</v>
      </c>
      <c r="C209" s="17" t="str">
        <f>VLOOKUP(A209,Uhikhinnad!$A$6:$F$156,2,FALSE)</f>
        <v>tuletõrjevee mahuti rajamine</v>
      </c>
      <c r="D209" s="17">
        <f>VLOOKUP(A209,Uhikhinnad!$A$6:$F$156,3,FALSE)</f>
        <v>0</v>
      </c>
      <c r="E209" s="18">
        <f>VLOOKUP(A209,Uhikhinnad!$A$6:$F$156,4,FALSE)</f>
        <v>0</v>
      </c>
      <c r="F209" s="19">
        <v>0</v>
      </c>
      <c r="G209" s="18">
        <f>VLOOKUP(A209,Uhikhinnad!$A$6:$F$156,5,FALSE)</f>
        <v>0</v>
      </c>
      <c r="H209" s="18">
        <f>VLOOKUP(A209,Uhikhinnad!$A$6:$F$156,6,FALSE)</f>
        <v>0</v>
      </c>
      <c r="I209" s="35">
        <f t="shared" si="7"/>
        <v>0</v>
      </c>
      <c r="J209" s="49"/>
      <c r="K209" s="93"/>
      <c r="L209" s="93"/>
      <c r="M209" s="93"/>
      <c r="N209" s="93"/>
    </row>
    <row r="210" spans="1:14" s="44" customFormat="1" ht="11.25">
      <c r="A210" s="52" t="s">
        <v>216</v>
      </c>
      <c r="B210" s="55" t="s">
        <v>130</v>
      </c>
      <c r="C210" s="17" t="str">
        <f>VLOOKUP(A210,Uhikhinnad!$A$6:$F$156,2,FALSE)</f>
        <v>tuletõrjevee mahuti rajamine</v>
      </c>
      <c r="D210" s="17" t="str">
        <f>VLOOKUP(A210,Uhikhinnad!$A$6:$F$156,3,FALSE)</f>
        <v>plast (50 - 200 m3)</v>
      </c>
      <c r="E210" s="18" t="str">
        <f>VLOOKUP(A210,Uhikhinnad!$A$6:$F$156,4,FALSE)</f>
        <v>m3</v>
      </c>
      <c r="F210" s="19">
        <v>0</v>
      </c>
      <c r="G210" s="18">
        <f>VLOOKUP(A210,Uhikhinnad!$A$6:$F$156,5,FALSE)</f>
        <v>0</v>
      </c>
      <c r="H210" s="18">
        <f>VLOOKUP(A210,Uhikhinnad!$A$6:$F$156,6,FALSE)</f>
        <v>0</v>
      </c>
      <c r="I210" s="35">
        <f t="shared" si="7"/>
        <v>0</v>
      </c>
      <c r="J210" s="49"/>
      <c r="K210" s="93"/>
      <c r="L210" s="93"/>
      <c r="M210" s="93"/>
      <c r="N210" s="93"/>
    </row>
    <row r="211" spans="1:14" s="44" customFormat="1" ht="11.25">
      <c r="A211" s="52" t="s">
        <v>217</v>
      </c>
      <c r="B211" s="55" t="s">
        <v>130</v>
      </c>
      <c r="C211" s="17" t="str">
        <f>VLOOKUP(A211,Uhikhinnad!$A$6:$F$156,2,FALSE)</f>
        <v>tuletõrjevee mahuti rajamine</v>
      </c>
      <c r="D211" s="17" t="str">
        <f>VLOOKUP(A211,Uhikhinnad!$A$6:$F$156,3,FALSE)</f>
        <v>plast (201 + m3)</v>
      </c>
      <c r="E211" s="18" t="str">
        <f>VLOOKUP(A211,Uhikhinnad!$A$6:$F$156,4,FALSE)</f>
        <v>m3</v>
      </c>
      <c r="F211" s="19">
        <v>0</v>
      </c>
      <c r="G211" s="18">
        <f>VLOOKUP(A211,Uhikhinnad!$A$6:$F$156,5,FALSE)</f>
        <v>0</v>
      </c>
      <c r="H211" s="18">
        <f>VLOOKUP(A211,Uhikhinnad!$A$6:$F$156,6,FALSE)</f>
        <v>0</v>
      </c>
      <c r="I211" s="35">
        <f t="shared" si="7"/>
        <v>0</v>
      </c>
      <c r="J211" s="49"/>
      <c r="K211" s="93"/>
      <c r="L211" s="93"/>
      <c r="M211" s="93"/>
      <c r="N211" s="93"/>
    </row>
    <row r="212" spans="1:14" s="44" customFormat="1" ht="11.25">
      <c r="A212" s="52" t="s">
        <v>218</v>
      </c>
      <c r="B212" s="55" t="s">
        <v>130</v>
      </c>
      <c r="C212" s="17" t="str">
        <f>VLOOKUP(A212,Uhikhinnad!$A$6:$F$156,2,FALSE)</f>
        <v>tuletõrjevee mahuti rajamine</v>
      </c>
      <c r="D212" s="17" t="str">
        <f>VLOOKUP(A212,Uhikhinnad!$A$6:$F$156,3,FALSE)</f>
        <v>betoon (50 - 200 m3)</v>
      </c>
      <c r="E212" s="18" t="str">
        <f>VLOOKUP(A212,Uhikhinnad!$A$6:$F$156,4,FALSE)</f>
        <v>m3</v>
      </c>
      <c r="F212" s="19">
        <v>0</v>
      </c>
      <c r="G212" s="18">
        <f>VLOOKUP(A212,Uhikhinnad!$A$6:$F$156,5,FALSE)</f>
        <v>570</v>
      </c>
      <c r="H212" s="18">
        <f>VLOOKUP(A212,Uhikhinnad!$A$6:$F$156,6,FALSE)</f>
        <v>0</v>
      </c>
      <c r="I212" s="35">
        <f t="shared" si="7"/>
        <v>0</v>
      </c>
      <c r="J212" s="49"/>
      <c r="K212" s="93"/>
      <c r="L212" s="93"/>
      <c r="M212" s="93"/>
      <c r="N212" s="93"/>
    </row>
    <row r="213" spans="1:14" s="44" customFormat="1" ht="11.25">
      <c r="A213" s="52" t="s">
        <v>219</v>
      </c>
      <c r="B213" s="55" t="s">
        <v>130</v>
      </c>
      <c r="C213" s="17" t="str">
        <f>VLOOKUP(A213,Uhikhinnad!$A$6:$F$156,2,FALSE)</f>
        <v>tuletõrjevee mahuti rajamine</v>
      </c>
      <c r="D213" s="17" t="str">
        <f>VLOOKUP(A213,Uhikhinnad!$A$6:$F$156,3,FALSE)</f>
        <v>betoon (201 + m3)</v>
      </c>
      <c r="E213" s="18" t="str">
        <f>VLOOKUP(A213,Uhikhinnad!$A$6:$F$156,4,FALSE)</f>
        <v>m3</v>
      </c>
      <c r="F213" s="19">
        <v>0</v>
      </c>
      <c r="G213" s="18">
        <f>VLOOKUP(A213,Uhikhinnad!$A$6:$F$156,5,FALSE)</f>
        <v>450</v>
      </c>
      <c r="H213" s="18">
        <f>VLOOKUP(A213,Uhikhinnad!$A$6:$F$156,6,FALSE)</f>
        <v>0</v>
      </c>
      <c r="I213" s="35">
        <f t="shared" si="7"/>
        <v>0</v>
      </c>
      <c r="J213" s="49"/>
      <c r="K213" s="93"/>
      <c r="L213" s="93"/>
      <c r="M213" s="93"/>
      <c r="N213" s="93"/>
    </row>
    <row r="214" spans="1:14" s="44" customFormat="1" ht="11.25">
      <c r="A214" s="52">
        <v>208</v>
      </c>
      <c r="B214" s="55" t="s">
        <v>130</v>
      </c>
      <c r="C214" s="17" t="str">
        <f>VLOOKUP(A214,Uhikhinnad!$A$6:$F$156,2,FALSE)</f>
        <v>tuletõrjevee mahuti rekonstrueerimine</v>
      </c>
      <c r="D214" s="17">
        <f>VLOOKUP(A214,Uhikhinnad!$A$6:$F$156,3,FALSE)</f>
        <v>0</v>
      </c>
      <c r="E214" s="18">
        <f>VLOOKUP(A214,Uhikhinnad!$A$6:$F$156,4,FALSE)</f>
        <v>0</v>
      </c>
      <c r="F214" s="19">
        <v>0</v>
      </c>
      <c r="G214" s="18">
        <f>VLOOKUP(A214,Uhikhinnad!$A$6:$F$156,5,FALSE)</f>
        <v>0</v>
      </c>
      <c r="H214" s="18">
        <f>VLOOKUP(A214,Uhikhinnad!$A$6:$F$156,6,FALSE)</f>
        <v>0</v>
      </c>
      <c r="I214" s="35">
        <f t="shared" si="7"/>
        <v>0</v>
      </c>
      <c r="J214" s="49"/>
      <c r="K214" s="93"/>
      <c r="L214" s="93"/>
      <c r="M214" s="93"/>
      <c r="N214" s="93"/>
    </row>
    <row r="215" spans="1:14" s="44" customFormat="1" ht="11.25">
      <c r="A215" s="52" t="s">
        <v>220</v>
      </c>
      <c r="B215" s="55" t="s">
        <v>130</v>
      </c>
      <c r="C215" s="17" t="str">
        <f>VLOOKUP(A215,Uhikhinnad!$A$6:$F$156,2,FALSE)</f>
        <v>tuletõrjevee mahuti rekonstrueerimine</v>
      </c>
      <c r="D215" s="17" t="str">
        <f>VLOOKUP(A215,Uhikhinnad!$A$6:$F$156,3,FALSE)</f>
        <v>(50-200 m3)</v>
      </c>
      <c r="E215" s="18" t="str">
        <f>VLOOKUP(A215,Uhikhinnad!$A$6:$F$156,4,FALSE)</f>
        <v>m3</v>
      </c>
      <c r="F215" s="19">
        <v>0</v>
      </c>
      <c r="G215" s="18">
        <f>VLOOKUP(A215,Uhikhinnad!$A$6:$F$156,5,FALSE)</f>
        <v>250</v>
      </c>
      <c r="H215" s="18">
        <f>VLOOKUP(A215,Uhikhinnad!$A$6:$F$156,6,FALSE)</f>
        <v>0</v>
      </c>
      <c r="I215" s="35">
        <f t="shared" si="7"/>
        <v>0</v>
      </c>
      <c r="J215" s="49"/>
      <c r="K215" s="93"/>
      <c r="L215" s="93"/>
      <c r="M215" s="93"/>
      <c r="N215" s="93"/>
    </row>
    <row r="216" spans="1:14" s="44" customFormat="1" ht="11.25">
      <c r="A216" s="52" t="s">
        <v>221</v>
      </c>
      <c r="B216" s="55" t="s">
        <v>130</v>
      </c>
      <c r="C216" s="17" t="str">
        <f>VLOOKUP(A216,Uhikhinnad!$A$6:$F$156,2,FALSE)</f>
        <v>tuletõrjevee mahuti rekonstrueerimine</v>
      </c>
      <c r="D216" s="17" t="str">
        <f>VLOOKUP(A216,Uhikhinnad!$A$6:$F$156,3,FALSE)</f>
        <v>(201 + m3)</v>
      </c>
      <c r="E216" s="18" t="str">
        <f>VLOOKUP(A216,Uhikhinnad!$A$6:$F$156,4,FALSE)</f>
        <v>m3</v>
      </c>
      <c r="F216" s="19">
        <v>0</v>
      </c>
      <c r="G216" s="18">
        <f>VLOOKUP(A216,Uhikhinnad!$A$6:$F$156,5,FALSE)</f>
        <v>0</v>
      </c>
      <c r="H216" s="18">
        <f>VLOOKUP(A216,Uhikhinnad!$A$6:$F$156,6,FALSE)</f>
        <v>0</v>
      </c>
      <c r="I216" s="35">
        <f t="shared" si="7"/>
        <v>0</v>
      </c>
      <c r="J216" s="49"/>
      <c r="K216" s="93"/>
      <c r="L216" s="93"/>
      <c r="M216" s="93"/>
      <c r="N216" s="93"/>
    </row>
    <row r="217" spans="1:14" s="44" customFormat="1" ht="11.25">
      <c r="A217" s="52">
        <v>209</v>
      </c>
      <c r="B217" s="55" t="s">
        <v>130</v>
      </c>
      <c r="C217" s="17" t="str">
        <f>VLOOKUP(A217,Uhikhinnad!$A$6:$F$156,2,FALSE)</f>
        <v>tuletõrjeveevõtu koha rajamine</v>
      </c>
      <c r="D217" s="17" t="str">
        <f>VLOOKUP(A217,Uhikhinnad!$A$6:$F$156,3,FALSE)</f>
        <v>kaldakaev </v>
      </c>
      <c r="E217" s="18" t="str">
        <f>VLOOKUP(A217,Uhikhinnad!$A$6:$F$156,4,FALSE)</f>
        <v>tk</v>
      </c>
      <c r="F217" s="19">
        <v>0</v>
      </c>
      <c r="G217" s="18">
        <f>VLOOKUP(A217,Uhikhinnad!$A$6:$F$156,5,FALSE)</f>
        <v>2000</v>
      </c>
      <c r="H217" s="18">
        <f>VLOOKUP(A217,Uhikhinnad!$A$6:$F$156,6,FALSE)</f>
        <v>0</v>
      </c>
      <c r="I217" s="35">
        <f t="shared" si="7"/>
        <v>0</v>
      </c>
      <c r="J217" s="49"/>
      <c r="K217" s="93"/>
      <c r="L217" s="93"/>
      <c r="M217" s="93"/>
      <c r="N217" s="93"/>
    </row>
    <row r="218" spans="1:10" ht="12.75" customHeight="1">
      <c r="A218" s="20"/>
      <c r="B218" s="21"/>
      <c r="C218" s="17"/>
      <c r="D218" s="17"/>
      <c r="E218" s="18"/>
      <c r="F218" s="19"/>
      <c r="G218" s="18"/>
      <c r="H218" s="18"/>
      <c r="I218" s="35"/>
      <c r="J218" s="49"/>
    </row>
    <row r="219" spans="1:10" ht="11.25">
      <c r="A219" s="52"/>
      <c r="B219" s="53"/>
      <c r="C219" s="94" t="s">
        <v>276</v>
      </c>
      <c r="D219" s="22"/>
      <c r="E219" s="49"/>
      <c r="F219" s="49"/>
      <c r="G219" s="49"/>
      <c r="H219" s="49"/>
      <c r="I219" s="62">
        <f>SUM(I220:I239)</f>
        <v>0</v>
      </c>
      <c r="J219" s="49"/>
    </row>
    <row r="220" spans="1:14" s="44" customFormat="1" ht="11.25">
      <c r="A220" s="52">
        <v>201</v>
      </c>
      <c r="B220" s="55" t="s">
        <v>129</v>
      </c>
      <c r="C220" s="17" t="str">
        <f>VLOOKUP(A220,Uhikhinnad!$A$6:$F$156,2,FALSE)</f>
        <v>veetoru</v>
      </c>
      <c r="D220" s="17">
        <f>VLOOKUP(A220,Uhikhinnad!$A$6:$F$156,3,FALSE)</f>
        <v>0</v>
      </c>
      <c r="E220" s="18" t="str">
        <f>VLOOKUP(A220,Uhikhinnad!$A$6:$F$156,4,FALSE)</f>
        <v>m</v>
      </c>
      <c r="F220" s="19">
        <v>0</v>
      </c>
      <c r="G220" s="18">
        <f>VLOOKUP(A220,Uhikhinnad!$A$6:$F$156,5,FALSE)</f>
        <v>0</v>
      </c>
      <c r="H220" s="18">
        <f>VLOOKUP(A220,Uhikhinnad!$A$6:$F$156,6,FALSE)</f>
        <v>0</v>
      </c>
      <c r="I220" s="35">
        <f>F220*G220+H220</f>
        <v>0</v>
      </c>
      <c r="J220" s="49"/>
      <c r="K220" s="45"/>
      <c r="L220" s="93"/>
      <c r="M220" s="93"/>
      <c r="N220" s="93"/>
    </row>
    <row r="221" spans="1:14" s="44" customFormat="1" ht="11.25">
      <c r="A221" s="52" t="s">
        <v>163</v>
      </c>
      <c r="B221" s="55" t="s">
        <v>129</v>
      </c>
      <c r="C221" s="17" t="str">
        <f>VLOOKUP(A221,Uhikhinnad!$A$6:$F$156,2,FALSE)</f>
        <v>veetoru</v>
      </c>
      <c r="D221" s="17" t="str">
        <f>VLOOKUP(A221,Uhikhinnad!$A$6:$F$156,3,FALSE)</f>
        <v>De32-De110</v>
      </c>
      <c r="E221" s="18" t="str">
        <f>VLOOKUP(A221,Uhikhinnad!$A$6:$F$156,4,FALSE)</f>
        <v>m</v>
      </c>
      <c r="F221" s="19">
        <v>0</v>
      </c>
      <c r="G221" s="18">
        <f>VLOOKUP(A221,Uhikhinnad!$A$6:$F$156,5,FALSE)</f>
        <v>120</v>
      </c>
      <c r="H221" s="18">
        <f>VLOOKUP(A221,Uhikhinnad!$A$6:$F$156,6,FALSE)</f>
        <v>0</v>
      </c>
      <c r="I221" s="35">
        <f aca="true" t="shared" si="8" ref="I221:I239">F221*G221+H221</f>
        <v>0</v>
      </c>
      <c r="J221" s="49"/>
      <c r="K221" s="45"/>
      <c r="L221" s="93"/>
      <c r="M221" s="93"/>
      <c r="N221" s="93"/>
    </row>
    <row r="222" spans="1:14" s="44" customFormat="1" ht="11.25">
      <c r="A222" s="52" t="s">
        <v>164</v>
      </c>
      <c r="B222" s="55" t="s">
        <v>129</v>
      </c>
      <c r="C222" s="17" t="str">
        <f>VLOOKUP(A222,Uhikhinnad!$A$6:$F$156,2,FALSE)</f>
        <v>veetoru</v>
      </c>
      <c r="D222" s="17" t="str">
        <f>VLOOKUP(A222,Uhikhinnad!$A$6:$F$156,3,FALSE)</f>
        <v>De160-De315</v>
      </c>
      <c r="E222" s="18" t="str">
        <f>VLOOKUP(A222,Uhikhinnad!$A$6:$F$156,4,FALSE)</f>
        <v>m</v>
      </c>
      <c r="F222" s="19">
        <v>0</v>
      </c>
      <c r="G222" s="18">
        <f>VLOOKUP(A222,Uhikhinnad!$A$6:$F$156,5,FALSE)</f>
        <v>200</v>
      </c>
      <c r="H222" s="18">
        <f>VLOOKUP(A222,Uhikhinnad!$A$6:$F$156,6,FALSE)</f>
        <v>0</v>
      </c>
      <c r="I222" s="35">
        <f t="shared" si="8"/>
        <v>0</v>
      </c>
      <c r="J222" s="49"/>
      <c r="K222" s="45"/>
      <c r="L222" s="93"/>
      <c r="M222" s="93"/>
      <c r="N222" s="93"/>
    </row>
    <row r="223" spans="1:14" s="44" customFormat="1" ht="11.25">
      <c r="A223" s="52" t="s">
        <v>187</v>
      </c>
      <c r="B223" s="55" t="s">
        <v>129</v>
      </c>
      <c r="C223" s="17" t="str">
        <f>VLOOKUP(A223,Uhikhinnad!$A$6:$F$156,2,FALSE)</f>
        <v>veetoru</v>
      </c>
      <c r="D223" s="17" t="str">
        <f>VLOOKUP(A223,Uhikhinnad!$A$6:$F$156,3,FALSE)</f>
        <v>De32-De110</v>
      </c>
      <c r="E223" s="18" t="str">
        <f>VLOOKUP(A223,Uhikhinnad!$A$6:$F$156,4,FALSE)</f>
        <v>m</v>
      </c>
      <c r="F223" s="19">
        <v>0</v>
      </c>
      <c r="G223" s="18">
        <f>VLOOKUP(A223,Uhikhinnad!$A$6:$F$156,5,FALSE)</f>
        <v>100</v>
      </c>
      <c r="H223" s="18">
        <f>VLOOKUP(A223,Uhikhinnad!$A$6:$F$156,6,FALSE)</f>
        <v>0</v>
      </c>
      <c r="I223" s="35">
        <f t="shared" si="8"/>
        <v>0</v>
      </c>
      <c r="J223" s="49"/>
      <c r="K223" s="45"/>
      <c r="L223" s="93"/>
      <c r="M223" s="93"/>
      <c r="N223" s="93"/>
    </row>
    <row r="224" spans="1:14" s="44" customFormat="1" ht="11.25">
      <c r="A224" s="52" t="s">
        <v>239</v>
      </c>
      <c r="B224" s="55" t="s">
        <v>129</v>
      </c>
      <c r="C224" s="17" t="str">
        <f>VLOOKUP(A224,Uhikhinnad!$A$6:$F$156,2,FALSE)</f>
        <v>veetoru</v>
      </c>
      <c r="D224" s="17" t="str">
        <f>VLOOKUP(A224,Uhikhinnad!$A$6:$F$156,3,FALSE)</f>
        <v>De160-De315</v>
      </c>
      <c r="E224" s="18" t="str">
        <f>VLOOKUP(A224,Uhikhinnad!$A$6:$F$156,4,FALSE)</f>
        <v>m</v>
      </c>
      <c r="F224" s="19">
        <v>0</v>
      </c>
      <c r="G224" s="18">
        <f>VLOOKUP(A224,Uhikhinnad!$A$6:$F$156,5,FALSE)</f>
        <v>190</v>
      </c>
      <c r="H224" s="18">
        <f>VLOOKUP(A224,Uhikhinnad!$A$6:$F$156,6,FALSE)</f>
        <v>0</v>
      </c>
      <c r="I224" s="35">
        <f t="shared" si="8"/>
        <v>0</v>
      </c>
      <c r="J224" s="49"/>
      <c r="K224" s="45"/>
      <c r="L224" s="93"/>
      <c r="M224" s="93"/>
      <c r="N224" s="93"/>
    </row>
    <row r="225" spans="1:14" s="44" customFormat="1" ht="11.25">
      <c r="A225" s="52" t="s">
        <v>240</v>
      </c>
      <c r="B225" s="55" t="s">
        <v>129</v>
      </c>
      <c r="C225" s="17" t="str">
        <f>VLOOKUP(A225,Uhikhinnad!$A$6:$F$156,2,FALSE)</f>
        <v>tuletõrjevee toru</v>
      </c>
      <c r="D225" s="17" t="str">
        <f>VLOOKUP(A225,Uhikhinnad!$A$6:$F$156,3,FALSE)</f>
        <v>DN100</v>
      </c>
      <c r="E225" s="18" t="str">
        <f>VLOOKUP(A225,Uhikhinnad!$A$6:$F$156,4,FALSE)</f>
        <v>m</v>
      </c>
      <c r="F225" s="19">
        <v>0</v>
      </c>
      <c r="G225" s="18">
        <f>VLOOKUP(A225,Uhikhinnad!$A$6:$F$156,5,FALSE)</f>
        <v>120</v>
      </c>
      <c r="H225" s="18">
        <f>VLOOKUP(A225,Uhikhinnad!$A$6:$F$156,6,FALSE)</f>
        <v>0</v>
      </c>
      <c r="I225" s="35">
        <f t="shared" si="8"/>
        <v>0</v>
      </c>
      <c r="J225" s="49"/>
      <c r="K225" s="45"/>
      <c r="L225" s="93"/>
      <c r="M225" s="93"/>
      <c r="N225" s="93"/>
    </row>
    <row r="226" spans="1:14" s="44" customFormat="1" ht="11.25">
      <c r="A226" s="52">
        <v>202</v>
      </c>
      <c r="B226" s="55" t="s">
        <v>129</v>
      </c>
      <c r="C226" s="17" t="str">
        <f>VLOOKUP(A226,Uhikhinnad!$A$6:$F$156,2,FALSE)</f>
        <v>majaühendus</v>
      </c>
      <c r="D226" s="17" t="str">
        <f>VLOOKUP(A226,Uhikhinnad!$A$6:$F$156,3,FALSE)</f>
        <v>Toru, maakraan, otsakork</v>
      </c>
      <c r="E226" s="18" t="str">
        <f>VLOOKUP(A226,Uhikhinnad!$A$6:$F$156,4,FALSE)</f>
        <v>kmpl</v>
      </c>
      <c r="F226" s="19">
        <v>0</v>
      </c>
      <c r="G226" s="18">
        <f>VLOOKUP(A226,Uhikhinnad!$A$6:$F$156,5,FALSE)</f>
        <v>900</v>
      </c>
      <c r="H226" s="18">
        <f>VLOOKUP(A226,Uhikhinnad!$A$6:$F$156,6,FALSE)</f>
        <v>0</v>
      </c>
      <c r="I226" s="35">
        <f t="shared" si="8"/>
        <v>0</v>
      </c>
      <c r="J226" s="49"/>
      <c r="K226" s="45"/>
      <c r="L226" s="93"/>
      <c r="M226" s="93"/>
      <c r="N226" s="93"/>
    </row>
    <row r="227" spans="1:14" s="44" customFormat="1" ht="11.25">
      <c r="A227" s="52">
        <v>203</v>
      </c>
      <c r="B227" s="55" t="s">
        <v>129</v>
      </c>
      <c r="C227" s="17" t="str">
        <f>VLOOKUP(A227,Uhikhinnad!$A$6:$F$156,2,FALSE)</f>
        <v>hüdrant</v>
      </c>
      <c r="D227" s="17" t="str">
        <f>VLOOKUP(A227,Uhikhinnad!$A$6:$F$156,3,FALSE)</f>
        <v>DN100 ühendus</v>
      </c>
      <c r="E227" s="18" t="str">
        <f>VLOOKUP(A227,Uhikhinnad!$A$6:$F$156,4,FALSE)</f>
        <v>tk</v>
      </c>
      <c r="F227" s="19">
        <v>0</v>
      </c>
      <c r="G227" s="18">
        <f>VLOOKUP(A227,Uhikhinnad!$A$6:$F$156,5,FALSE)</f>
        <v>1900</v>
      </c>
      <c r="H227" s="18">
        <f>VLOOKUP(A227,Uhikhinnad!$A$6:$F$156,6,FALSE)</f>
        <v>0</v>
      </c>
      <c r="I227" s="35">
        <f t="shared" si="8"/>
        <v>0</v>
      </c>
      <c r="J227" s="49"/>
      <c r="K227" s="45"/>
      <c r="L227" s="93"/>
      <c r="M227" s="93"/>
      <c r="N227" s="93"/>
    </row>
    <row r="228" spans="1:14" s="44" customFormat="1" ht="11.25">
      <c r="A228" s="52">
        <v>204</v>
      </c>
      <c r="B228" s="55" t="s">
        <v>129</v>
      </c>
      <c r="C228" s="17" t="str">
        <f>VLOOKUP(A228,Uhikhinnad!$A$6:$F$156,2,FALSE)</f>
        <v>plastikust siibri/veemõõtja kaev </v>
      </c>
      <c r="D228" s="17" t="str">
        <f>VLOOKUP(A228,Uhikhinnad!$A$6:$F$156,3,FALSE)</f>
        <v>D1500mm</v>
      </c>
      <c r="E228" s="18" t="str">
        <f>VLOOKUP(A228,Uhikhinnad!$A$6:$F$156,4,FALSE)</f>
        <v>tk</v>
      </c>
      <c r="F228" s="19">
        <v>0</v>
      </c>
      <c r="G228" s="18">
        <f>VLOOKUP(A228,Uhikhinnad!$A$6:$F$156,5,FALSE)</f>
        <v>20000</v>
      </c>
      <c r="H228" s="18">
        <f>VLOOKUP(A228,Uhikhinnad!$A$6:$F$156,6,FALSE)</f>
        <v>0</v>
      </c>
      <c r="I228" s="35">
        <f t="shared" si="8"/>
        <v>0</v>
      </c>
      <c r="J228" s="49"/>
      <c r="K228" s="45"/>
      <c r="L228" s="93"/>
      <c r="M228" s="93"/>
      <c r="N228" s="93"/>
    </row>
    <row r="229" spans="1:14" s="44" customFormat="1" ht="11.25">
      <c r="A229" s="52">
        <v>205</v>
      </c>
      <c r="B229" s="55" t="s">
        <v>129</v>
      </c>
      <c r="C229" s="17" t="str">
        <f>VLOOKUP(A229,Uhikhinnad!$A$6:$F$156,2,FALSE)</f>
        <v>muu veevõrgu seade</v>
      </c>
      <c r="D229" s="17">
        <f>VLOOKUP(A229,Uhikhinnad!$A$6:$F$156,3,FALSE)</f>
        <v>0</v>
      </c>
      <c r="E229" s="18" t="str">
        <f>VLOOKUP(A229,Uhikhinnad!$A$6:$F$156,4,FALSE)</f>
        <v>tk</v>
      </c>
      <c r="F229" s="19">
        <v>0</v>
      </c>
      <c r="G229" s="18">
        <f>VLOOKUP(A229,Uhikhinnad!$A$6:$F$156,5,FALSE)</f>
        <v>1500</v>
      </c>
      <c r="H229" s="18">
        <f>VLOOKUP(A229,Uhikhinnad!$A$6:$F$156,6,FALSE)</f>
        <v>0</v>
      </c>
      <c r="I229" s="35">
        <f t="shared" si="8"/>
        <v>0</v>
      </c>
      <c r="J229" s="49"/>
      <c r="K229" s="45"/>
      <c r="L229" s="93"/>
      <c r="M229" s="93"/>
      <c r="N229" s="93"/>
    </row>
    <row r="230" spans="1:14" s="44" customFormat="1" ht="11.25">
      <c r="A230" s="52">
        <v>206</v>
      </c>
      <c r="B230" s="55" t="s">
        <v>129</v>
      </c>
      <c r="C230" s="17" t="str">
        <f>VLOOKUP(A230,Uhikhinnad!$A$6:$F$156,2,FALSE)</f>
        <v>siibrite automaatjuhtimine</v>
      </c>
      <c r="D230" s="17" t="str">
        <f>VLOOKUP(A230,Uhikhinnad!$A$6:$F$156,3,FALSE)</f>
        <v>seadmed ja programmeerimine</v>
      </c>
      <c r="E230" s="18" t="str">
        <f>VLOOKUP(A230,Uhikhinnad!$A$6:$F$156,4,FALSE)</f>
        <v>tk</v>
      </c>
      <c r="F230" s="19">
        <v>0</v>
      </c>
      <c r="G230" s="18">
        <f>VLOOKUP(A230,Uhikhinnad!$A$6:$F$156,5,FALSE)</f>
        <v>6000</v>
      </c>
      <c r="H230" s="18">
        <f>VLOOKUP(A230,Uhikhinnad!$A$6:$F$156,6,FALSE)</f>
        <v>0</v>
      </c>
      <c r="I230" s="35">
        <f t="shared" si="8"/>
        <v>0</v>
      </c>
      <c r="J230" s="49"/>
      <c r="K230" s="45"/>
      <c r="L230" s="93"/>
      <c r="M230" s="93"/>
      <c r="N230" s="93"/>
    </row>
    <row r="231" spans="1:14" s="44" customFormat="1" ht="11.25">
      <c r="A231" s="52">
        <v>207</v>
      </c>
      <c r="B231" s="55" t="s">
        <v>129</v>
      </c>
      <c r="C231" s="17" t="str">
        <f>VLOOKUP(A231,Uhikhinnad!$A$6:$F$156,2,FALSE)</f>
        <v>tuletõrjevee mahuti rajamine</v>
      </c>
      <c r="D231" s="17">
        <f>VLOOKUP(A231,Uhikhinnad!$A$6:$F$156,3,FALSE)</f>
        <v>0</v>
      </c>
      <c r="E231" s="18">
        <f>VLOOKUP(A231,Uhikhinnad!$A$6:$F$156,4,FALSE)</f>
        <v>0</v>
      </c>
      <c r="F231" s="19">
        <v>0</v>
      </c>
      <c r="G231" s="18">
        <f>VLOOKUP(A231,Uhikhinnad!$A$6:$F$156,5,FALSE)</f>
        <v>0</v>
      </c>
      <c r="H231" s="18">
        <f>VLOOKUP(A231,Uhikhinnad!$A$6:$F$156,6,FALSE)</f>
        <v>0</v>
      </c>
      <c r="I231" s="35">
        <f t="shared" si="8"/>
        <v>0</v>
      </c>
      <c r="J231" s="49"/>
      <c r="K231" s="45"/>
      <c r="L231" s="93"/>
      <c r="M231" s="93"/>
      <c r="N231" s="93"/>
    </row>
    <row r="232" spans="1:14" s="44" customFormat="1" ht="11.25">
      <c r="A232" s="52" t="s">
        <v>216</v>
      </c>
      <c r="B232" s="55" t="s">
        <v>129</v>
      </c>
      <c r="C232" s="17" t="str">
        <f>VLOOKUP(A232,Uhikhinnad!$A$6:$F$156,2,FALSE)</f>
        <v>tuletõrjevee mahuti rajamine</v>
      </c>
      <c r="D232" s="17" t="str">
        <f>VLOOKUP(A232,Uhikhinnad!$A$6:$F$156,3,FALSE)</f>
        <v>plast (50 - 200 m3)</v>
      </c>
      <c r="E232" s="18" t="str">
        <f>VLOOKUP(A232,Uhikhinnad!$A$6:$F$156,4,FALSE)</f>
        <v>m3</v>
      </c>
      <c r="F232" s="19">
        <v>0</v>
      </c>
      <c r="G232" s="18">
        <f>VLOOKUP(A232,Uhikhinnad!$A$6:$F$156,5,FALSE)</f>
        <v>0</v>
      </c>
      <c r="H232" s="18">
        <f>VLOOKUP(A232,Uhikhinnad!$A$6:$F$156,6,FALSE)</f>
        <v>0</v>
      </c>
      <c r="I232" s="35">
        <f t="shared" si="8"/>
        <v>0</v>
      </c>
      <c r="J232" s="49"/>
      <c r="K232" s="93"/>
      <c r="L232" s="93"/>
      <c r="M232" s="93"/>
      <c r="N232" s="93"/>
    </row>
    <row r="233" spans="1:14" s="44" customFormat="1" ht="11.25">
      <c r="A233" s="52" t="s">
        <v>217</v>
      </c>
      <c r="B233" s="55" t="s">
        <v>129</v>
      </c>
      <c r="C233" s="17" t="str">
        <f>VLOOKUP(A233,Uhikhinnad!$A$6:$F$156,2,FALSE)</f>
        <v>tuletõrjevee mahuti rajamine</v>
      </c>
      <c r="D233" s="17" t="str">
        <f>VLOOKUP(A233,Uhikhinnad!$A$6:$F$156,3,FALSE)</f>
        <v>plast (201 + m3)</v>
      </c>
      <c r="E233" s="18" t="str">
        <f>VLOOKUP(A233,Uhikhinnad!$A$6:$F$156,4,FALSE)</f>
        <v>m3</v>
      </c>
      <c r="F233" s="19">
        <v>0</v>
      </c>
      <c r="G233" s="18">
        <f>VLOOKUP(A233,Uhikhinnad!$A$6:$F$156,5,FALSE)</f>
        <v>0</v>
      </c>
      <c r="H233" s="18">
        <f>VLOOKUP(A233,Uhikhinnad!$A$6:$F$156,6,FALSE)</f>
        <v>0</v>
      </c>
      <c r="I233" s="35">
        <f t="shared" si="8"/>
        <v>0</v>
      </c>
      <c r="J233" s="49"/>
      <c r="K233" s="45"/>
      <c r="L233" s="93"/>
      <c r="M233" s="93"/>
      <c r="N233" s="93"/>
    </row>
    <row r="234" spans="1:14" s="44" customFormat="1" ht="11.25">
      <c r="A234" s="52" t="s">
        <v>218</v>
      </c>
      <c r="B234" s="55" t="s">
        <v>129</v>
      </c>
      <c r="C234" s="17" t="str">
        <f>VLOOKUP(A234,Uhikhinnad!$A$6:$F$156,2,FALSE)</f>
        <v>tuletõrjevee mahuti rajamine</v>
      </c>
      <c r="D234" s="17" t="str">
        <f>VLOOKUP(A234,Uhikhinnad!$A$6:$F$156,3,FALSE)</f>
        <v>betoon (50 - 200 m3)</v>
      </c>
      <c r="E234" s="18" t="str">
        <f>VLOOKUP(A234,Uhikhinnad!$A$6:$F$156,4,FALSE)</f>
        <v>m3</v>
      </c>
      <c r="F234" s="19">
        <v>0</v>
      </c>
      <c r="G234" s="18">
        <f>VLOOKUP(A234,Uhikhinnad!$A$6:$F$156,5,FALSE)</f>
        <v>570</v>
      </c>
      <c r="H234" s="18">
        <f>VLOOKUP(A234,Uhikhinnad!$A$6:$F$156,6,FALSE)</f>
        <v>0</v>
      </c>
      <c r="I234" s="35">
        <f t="shared" si="8"/>
        <v>0</v>
      </c>
      <c r="J234" s="49"/>
      <c r="L234" s="93"/>
      <c r="M234" s="93"/>
      <c r="N234" s="93"/>
    </row>
    <row r="235" spans="1:14" s="44" customFormat="1" ht="11.25">
      <c r="A235" s="52" t="s">
        <v>219</v>
      </c>
      <c r="B235" s="55" t="s">
        <v>129</v>
      </c>
      <c r="C235" s="17" t="str">
        <f>VLOOKUP(A235,Uhikhinnad!$A$6:$F$156,2,FALSE)</f>
        <v>tuletõrjevee mahuti rajamine</v>
      </c>
      <c r="D235" s="17" t="str">
        <f>VLOOKUP(A235,Uhikhinnad!$A$6:$F$156,3,FALSE)</f>
        <v>betoon (201 + m3)</v>
      </c>
      <c r="E235" s="18" t="str">
        <f>VLOOKUP(A235,Uhikhinnad!$A$6:$F$156,4,FALSE)</f>
        <v>m3</v>
      </c>
      <c r="F235" s="19">
        <v>0</v>
      </c>
      <c r="G235" s="18">
        <f>VLOOKUP(A235,Uhikhinnad!$A$6:$F$156,5,FALSE)</f>
        <v>450</v>
      </c>
      <c r="H235" s="18">
        <f>VLOOKUP(A235,Uhikhinnad!$A$6:$F$156,6,FALSE)</f>
        <v>0</v>
      </c>
      <c r="I235" s="35">
        <f t="shared" si="8"/>
        <v>0</v>
      </c>
      <c r="J235" s="49"/>
      <c r="L235" s="93"/>
      <c r="M235" s="93"/>
      <c r="N235" s="93"/>
    </row>
    <row r="236" spans="1:14" s="44" customFormat="1" ht="11.25">
      <c r="A236" s="52">
        <v>208</v>
      </c>
      <c r="B236" s="55" t="s">
        <v>129</v>
      </c>
      <c r="C236" s="17" t="str">
        <f>VLOOKUP(A236,Uhikhinnad!$A$6:$F$156,2,FALSE)</f>
        <v>tuletõrjevee mahuti rekonstrueerimine</v>
      </c>
      <c r="D236" s="17">
        <f>VLOOKUP(A236,Uhikhinnad!$A$6:$F$156,3,FALSE)</f>
        <v>0</v>
      </c>
      <c r="E236" s="18">
        <f>VLOOKUP(A236,Uhikhinnad!$A$6:$F$156,4,FALSE)</f>
        <v>0</v>
      </c>
      <c r="F236" s="19">
        <v>0</v>
      </c>
      <c r="G236" s="18">
        <f>VLOOKUP(A236,Uhikhinnad!$A$6:$F$156,5,FALSE)</f>
        <v>0</v>
      </c>
      <c r="H236" s="18">
        <f>VLOOKUP(A236,Uhikhinnad!$A$6:$F$156,6,FALSE)</f>
        <v>0</v>
      </c>
      <c r="I236" s="35">
        <f t="shared" si="8"/>
        <v>0</v>
      </c>
      <c r="J236" s="49"/>
      <c r="L236" s="93"/>
      <c r="M236" s="93"/>
      <c r="N236" s="93"/>
    </row>
    <row r="237" spans="1:14" s="44" customFormat="1" ht="11.25">
      <c r="A237" s="52" t="s">
        <v>220</v>
      </c>
      <c r="B237" s="55" t="s">
        <v>129</v>
      </c>
      <c r="C237" s="17" t="str">
        <f>VLOOKUP(A237,Uhikhinnad!$A$6:$F$156,2,FALSE)</f>
        <v>tuletõrjevee mahuti rekonstrueerimine</v>
      </c>
      <c r="D237" s="17" t="str">
        <f>VLOOKUP(A237,Uhikhinnad!$A$6:$F$156,3,FALSE)</f>
        <v>(50-200 m3)</v>
      </c>
      <c r="E237" s="18" t="str">
        <f>VLOOKUP(A237,Uhikhinnad!$A$6:$F$156,4,FALSE)</f>
        <v>m3</v>
      </c>
      <c r="F237" s="19">
        <v>0</v>
      </c>
      <c r="G237" s="18">
        <f>VLOOKUP(A237,Uhikhinnad!$A$6:$F$156,5,FALSE)</f>
        <v>250</v>
      </c>
      <c r="H237" s="18">
        <f>VLOOKUP(A237,Uhikhinnad!$A$6:$F$156,6,FALSE)</f>
        <v>0</v>
      </c>
      <c r="I237" s="35">
        <f t="shared" si="8"/>
        <v>0</v>
      </c>
      <c r="J237" s="49"/>
      <c r="L237" s="93"/>
      <c r="M237" s="93"/>
      <c r="N237" s="93"/>
    </row>
    <row r="238" spans="1:14" s="44" customFormat="1" ht="11.25">
      <c r="A238" s="52" t="s">
        <v>221</v>
      </c>
      <c r="B238" s="55" t="s">
        <v>129</v>
      </c>
      <c r="C238" s="17" t="str">
        <f>VLOOKUP(A238,Uhikhinnad!$A$6:$F$156,2,FALSE)</f>
        <v>tuletõrjevee mahuti rekonstrueerimine</v>
      </c>
      <c r="D238" s="17" t="str">
        <f>VLOOKUP(A238,Uhikhinnad!$A$6:$F$156,3,FALSE)</f>
        <v>(201 + m3)</v>
      </c>
      <c r="E238" s="18" t="str">
        <f>VLOOKUP(A238,Uhikhinnad!$A$6:$F$156,4,FALSE)</f>
        <v>m3</v>
      </c>
      <c r="F238" s="19">
        <v>0</v>
      </c>
      <c r="G238" s="18">
        <f>VLOOKUP(A238,Uhikhinnad!$A$6:$F$156,5,FALSE)</f>
        <v>0</v>
      </c>
      <c r="H238" s="18">
        <f>VLOOKUP(A238,Uhikhinnad!$A$6:$F$156,6,FALSE)</f>
        <v>0</v>
      </c>
      <c r="I238" s="35">
        <f t="shared" si="8"/>
        <v>0</v>
      </c>
      <c r="J238" s="49"/>
      <c r="L238" s="93"/>
      <c r="M238" s="93"/>
      <c r="N238" s="93"/>
    </row>
    <row r="239" spans="1:14" s="44" customFormat="1" ht="11.25">
      <c r="A239" s="52">
        <v>209</v>
      </c>
      <c r="B239" s="55" t="s">
        <v>129</v>
      </c>
      <c r="C239" s="17" t="str">
        <f>VLOOKUP(A239,Uhikhinnad!$A$6:$F$156,2,FALSE)</f>
        <v>tuletõrjeveevõtu koha rajamine</v>
      </c>
      <c r="D239" s="17" t="str">
        <f>VLOOKUP(A239,Uhikhinnad!$A$6:$F$156,3,FALSE)</f>
        <v>kaldakaev </v>
      </c>
      <c r="E239" s="18" t="str">
        <f>VLOOKUP(A239,Uhikhinnad!$A$6:$F$156,4,FALSE)</f>
        <v>tk</v>
      </c>
      <c r="F239" s="19">
        <v>0</v>
      </c>
      <c r="G239" s="18">
        <f>VLOOKUP(A239,Uhikhinnad!$A$6:$F$156,5,FALSE)</f>
        <v>2000</v>
      </c>
      <c r="H239" s="18">
        <f>VLOOKUP(A239,Uhikhinnad!$A$6:$F$156,6,FALSE)</f>
        <v>0</v>
      </c>
      <c r="I239" s="35">
        <f t="shared" si="8"/>
        <v>0</v>
      </c>
      <c r="J239" s="49"/>
      <c r="L239" s="93"/>
      <c r="M239" s="93"/>
      <c r="N239" s="93"/>
    </row>
    <row r="240" spans="1:10" ht="11.25">
      <c r="A240" s="52"/>
      <c r="B240" s="55"/>
      <c r="C240" s="17"/>
      <c r="D240" s="22"/>
      <c r="E240" s="18"/>
      <c r="F240" s="19"/>
      <c r="G240" s="18"/>
      <c r="H240" s="18"/>
      <c r="I240" s="35"/>
      <c r="J240" s="49"/>
    </row>
    <row r="241" spans="1:10" ht="11.25">
      <c r="A241" s="52"/>
      <c r="B241" s="55"/>
      <c r="C241" s="17"/>
      <c r="D241" s="200" t="s">
        <v>61</v>
      </c>
      <c r="E241" s="202"/>
      <c r="F241" s="202"/>
      <c r="G241" s="202"/>
      <c r="H241" s="23"/>
      <c r="I241" s="37">
        <f>SUM(I8,I79,I151,I197)*(1+Uhikhinnad!$E$161)</f>
        <v>0</v>
      </c>
      <c r="J241" s="49"/>
    </row>
    <row r="242" spans="1:10" ht="11.25">
      <c r="A242" s="52"/>
      <c r="B242" s="55"/>
      <c r="C242" s="17"/>
      <c r="D242" s="200" t="s">
        <v>62</v>
      </c>
      <c r="E242" s="202"/>
      <c r="F242" s="202"/>
      <c r="G242" s="202"/>
      <c r="H242" s="23"/>
      <c r="I242" s="37">
        <f>SUM(I43,I114,I173,I219)*(1+Uhikhinnad!$E$161)</f>
        <v>0</v>
      </c>
      <c r="J242" s="49"/>
    </row>
    <row r="243" spans="1:10" ht="11.25">
      <c r="A243" s="52"/>
      <c r="B243" s="55"/>
      <c r="C243" s="17"/>
      <c r="D243" s="201" t="s">
        <v>45</v>
      </c>
      <c r="E243" s="203"/>
      <c r="F243" s="24"/>
      <c r="G243" s="24"/>
      <c r="H243" s="25"/>
      <c r="I243" s="38">
        <f>SUM(I241:I242)</f>
        <v>0</v>
      </c>
      <c r="J243" s="49"/>
    </row>
    <row r="244" spans="1:10" ht="11.25">
      <c r="A244" s="52"/>
      <c r="B244" s="55"/>
      <c r="C244" s="17"/>
      <c r="D244" s="90"/>
      <c r="E244" s="91"/>
      <c r="F244" s="24"/>
      <c r="G244" s="24"/>
      <c r="H244" s="25"/>
      <c r="I244" s="38"/>
      <c r="J244" s="49"/>
    </row>
    <row r="245" spans="1:10" ht="12.75" customHeight="1">
      <c r="A245" s="20"/>
      <c r="B245" s="26"/>
      <c r="C245" s="27"/>
      <c r="D245" s="17"/>
      <c r="I245" s="39"/>
      <c r="J245" s="49"/>
    </row>
    <row r="246" spans="1:10" ht="11.25">
      <c r="A246" s="28"/>
      <c r="B246" s="29"/>
      <c r="C246" s="12" t="s">
        <v>32</v>
      </c>
      <c r="D246" s="14"/>
      <c r="E246" s="15"/>
      <c r="F246" s="16"/>
      <c r="G246" s="15"/>
      <c r="H246" s="15"/>
      <c r="I246" s="40"/>
      <c r="J246" s="49"/>
    </row>
    <row r="247" spans="1:10" ht="11.25">
      <c r="A247" s="28"/>
      <c r="B247" s="29"/>
      <c r="C247" s="50" t="s">
        <v>74</v>
      </c>
      <c r="D247" s="14"/>
      <c r="E247" s="15"/>
      <c r="F247" s="16"/>
      <c r="G247" s="15"/>
      <c r="H247" s="15"/>
      <c r="I247" s="40"/>
      <c r="J247" s="49"/>
    </row>
    <row r="248" spans="1:10" ht="11.25">
      <c r="A248" s="52"/>
      <c r="B248" s="55"/>
      <c r="C248" s="12" t="s">
        <v>270</v>
      </c>
      <c r="D248" s="30"/>
      <c r="E248" s="18"/>
      <c r="F248" s="31"/>
      <c r="G248" s="30"/>
      <c r="H248" s="30"/>
      <c r="I248" s="36"/>
      <c r="J248" s="49"/>
    </row>
    <row r="249" spans="1:10" ht="11.25">
      <c r="A249" s="52"/>
      <c r="B249" s="55"/>
      <c r="C249" s="94" t="s">
        <v>279</v>
      </c>
      <c r="D249" s="32"/>
      <c r="E249" s="18"/>
      <c r="F249" s="31"/>
      <c r="G249" s="30"/>
      <c r="H249" s="30"/>
      <c r="I249" s="95">
        <f>SUM(I250:I269)</f>
        <v>0</v>
      </c>
      <c r="J249" s="49"/>
    </row>
    <row r="250" spans="1:10" ht="11.25">
      <c r="A250" s="52">
        <v>301</v>
      </c>
      <c r="B250" s="55" t="s">
        <v>130</v>
      </c>
      <c r="C250" s="17" t="str">
        <f>VLOOKUP(A250,Uhikhinnad!$A$6:$F$156,2,FALSE)</f>
        <v>isevoolne kan.toru </v>
      </c>
      <c r="D250" s="17">
        <f>VLOOKUP(A250,Uhikhinnad!$A$6:$F$156,3,FALSE)</f>
        <v>0</v>
      </c>
      <c r="E250" s="18" t="str">
        <f>VLOOKUP(A250,Uhikhinnad!$A$6:$F$156,4,FALSE)</f>
        <v>m</v>
      </c>
      <c r="F250" s="19">
        <v>0</v>
      </c>
      <c r="G250" s="18">
        <f>VLOOKUP(A250,Uhikhinnad!$A$6:$F$156,5,FALSE)</f>
        <v>0</v>
      </c>
      <c r="H250" s="18">
        <f>VLOOKUP(A250,Uhikhinnad!$A$6:$F$156,6,FALSE)</f>
        <v>0</v>
      </c>
      <c r="I250" s="35">
        <f aca="true" t="shared" si="9" ref="I250:I269">F250*G250+H250</f>
        <v>0</v>
      </c>
      <c r="J250" s="49"/>
    </row>
    <row r="251" spans="1:10" ht="11.25">
      <c r="A251" s="52" t="s">
        <v>152</v>
      </c>
      <c r="B251" s="55" t="s">
        <v>130</v>
      </c>
      <c r="C251" s="17" t="str">
        <f>VLOOKUP(A251,Uhikhinnad!$A$6:$F$156,2,FALSE)</f>
        <v>isevoolne kan.toru </v>
      </c>
      <c r="D251" s="17" t="str">
        <f>VLOOKUP(A251,Uhikhinnad!$A$6:$F$156,3,FALSE)</f>
        <v>De160-De315</v>
      </c>
      <c r="E251" s="18" t="str">
        <f>VLOOKUP(A251,Uhikhinnad!$A$6:$F$156,4,FALSE)</f>
        <v>m</v>
      </c>
      <c r="F251" s="19">
        <v>0</v>
      </c>
      <c r="G251" s="18">
        <f>VLOOKUP(A251,Uhikhinnad!$A$6:$F$156,5,FALSE)</f>
        <v>210</v>
      </c>
      <c r="H251" s="18">
        <f>VLOOKUP(A251,Uhikhinnad!$A$6:$F$156,6,FALSE)</f>
        <v>0</v>
      </c>
      <c r="I251" s="35">
        <f t="shared" si="9"/>
        <v>0</v>
      </c>
      <c r="J251" s="49"/>
    </row>
    <row r="252" spans="1:10" ht="11.25">
      <c r="A252" s="52" t="s">
        <v>154</v>
      </c>
      <c r="B252" s="55" t="s">
        <v>130</v>
      </c>
      <c r="C252" s="17" t="str">
        <f>VLOOKUP(A252,Uhikhinnad!$A$6:$F$156,2,FALSE)</f>
        <v>isevoolne kan.toru </v>
      </c>
      <c r="D252" s="17" t="str">
        <f>VLOOKUP(A252,Uhikhinnad!$A$6:$F$156,3,FALSE)</f>
        <v>De400-De630</v>
      </c>
      <c r="E252" s="18" t="str">
        <f>VLOOKUP(A252,Uhikhinnad!$A$6:$F$156,4,FALSE)</f>
        <v>m</v>
      </c>
      <c r="F252" s="19">
        <v>0</v>
      </c>
      <c r="G252" s="18">
        <f>VLOOKUP(A252,Uhikhinnad!$A$6:$F$156,5,FALSE)</f>
        <v>250</v>
      </c>
      <c r="H252" s="18">
        <f>VLOOKUP(A252,Uhikhinnad!$A$6:$F$156,6,FALSE)</f>
        <v>0</v>
      </c>
      <c r="I252" s="35">
        <f t="shared" si="9"/>
        <v>0</v>
      </c>
      <c r="J252" s="49"/>
    </row>
    <row r="253" spans="1:10" ht="11.25">
      <c r="A253" s="52" t="s">
        <v>155</v>
      </c>
      <c r="B253" s="55" t="s">
        <v>130</v>
      </c>
      <c r="C253" s="17" t="str">
        <f>VLOOKUP(A253,Uhikhinnad!$A$6:$F$156,2,FALSE)</f>
        <v>isevoolne kan.toru </v>
      </c>
      <c r="D253" s="17" t="str">
        <f>VLOOKUP(A253,Uhikhinnad!$A$6:$F$156,3,FALSE)</f>
        <v>De630</v>
      </c>
      <c r="E253" s="18" t="str">
        <f>VLOOKUP(A253,Uhikhinnad!$A$6:$F$156,4,FALSE)</f>
        <v>m</v>
      </c>
      <c r="F253" s="19">
        <v>0</v>
      </c>
      <c r="G253" s="18">
        <f>VLOOKUP(A253,Uhikhinnad!$A$6:$F$156,5,FALSE)</f>
        <v>0</v>
      </c>
      <c r="H253" s="18">
        <f>VLOOKUP(A253,Uhikhinnad!$A$6:$F$156,6,FALSE)</f>
        <v>0</v>
      </c>
      <c r="I253" s="35">
        <f t="shared" si="9"/>
        <v>0</v>
      </c>
      <c r="J253" s="49"/>
    </row>
    <row r="254" spans="1:10" ht="11.25">
      <c r="A254" s="52" t="s">
        <v>156</v>
      </c>
      <c r="B254" s="55" t="s">
        <v>130</v>
      </c>
      <c r="C254" s="17" t="str">
        <f>VLOOKUP(A254,Uhikhinnad!$A$6:$F$156,2,FALSE)</f>
        <v>isevoolne kan.toru </v>
      </c>
      <c r="D254" s="17" t="str">
        <f>VLOOKUP(A254,Uhikhinnad!$A$6:$F$156,3,FALSE)</f>
        <v>De800-De1000</v>
      </c>
      <c r="E254" s="18" t="str">
        <f>VLOOKUP(A254,Uhikhinnad!$A$6:$F$156,4,FALSE)</f>
        <v>m</v>
      </c>
      <c r="F254" s="19">
        <v>0</v>
      </c>
      <c r="G254" s="18">
        <f>VLOOKUP(A254,Uhikhinnad!$A$6:$F$156,5,FALSE)</f>
        <v>0</v>
      </c>
      <c r="H254" s="18">
        <f>VLOOKUP(A254,Uhikhinnad!$A$6:$F$156,6,FALSE)</f>
        <v>0</v>
      </c>
      <c r="I254" s="35">
        <f t="shared" si="9"/>
        <v>0</v>
      </c>
      <c r="J254" s="49"/>
    </row>
    <row r="255" spans="1:10" ht="11.25">
      <c r="A255" s="52" t="s">
        <v>243</v>
      </c>
      <c r="B255" s="55" t="s">
        <v>130</v>
      </c>
      <c r="C255" s="17" t="str">
        <f>VLOOKUP(A255,Uhikhinnad!$A$6:$F$156,2,FALSE)</f>
        <v>isevoolne kan.toru kruusateel, pinnaseteel või haljasalal</v>
      </c>
      <c r="D255" s="17" t="str">
        <f>VLOOKUP(A255,Uhikhinnad!$A$6:$F$156,3,FALSE)</f>
        <v>De160-De315</v>
      </c>
      <c r="E255" s="18" t="str">
        <f>VLOOKUP(A255,Uhikhinnad!$A$6:$F$156,4,FALSE)</f>
        <v>m</v>
      </c>
      <c r="F255" s="19">
        <v>0</v>
      </c>
      <c r="G255" s="18">
        <f>VLOOKUP(A255,Uhikhinnad!$A$6:$F$156,5,FALSE)</f>
        <v>200</v>
      </c>
      <c r="H255" s="18">
        <f>VLOOKUP(A255,Uhikhinnad!$A$6:$F$156,6,FALSE)</f>
        <v>0</v>
      </c>
      <c r="I255" s="35">
        <f t="shared" si="9"/>
        <v>0</v>
      </c>
      <c r="J255" s="49"/>
    </row>
    <row r="256" spans="1:10" ht="11.25">
      <c r="A256" s="52" t="s">
        <v>244</v>
      </c>
      <c r="B256" s="55" t="s">
        <v>130</v>
      </c>
      <c r="C256" s="17" t="str">
        <f>VLOOKUP(A256,Uhikhinnad!$A$6:$F$156,2,FALSE)</f>
        <v>isevoolne kan.toru kruusateel, pinnaseteel või haljasalal</v>
      </c>
      <c r="D256" s="17" t="str">
        <f>VLOOKUP(A256,Uhikhinnad!$A$6:$F$156,3,FALSE)</f>
        <v>De400-De630</v>
      </c>
      <c r="E256" s="18" t="str">
        <f>VLOOKUP(A256,Uhikhinnad!$A$6:$F$156,4,FALSE)</f>
        <v>m</v>
      </c>
      <c r="F256" s="19">
        <v>0</v>
      </c>
      <c r="G256" s="18">
        <f>VLOOKUP(A256,Uhikhinnad!$A$6:$F$156,5,FALSE)</f>
        <v>240</v>
      </c>
      <c r="H256" s="18">
        <f>VLOOKUP(A256,Uhikhinnad!$A$6:$F$156,6,FALSE)</f>
        <v>0</v>
      </c>
      <c r="I256" s="35">
        <f t="shared" si="9"/>
        <v>0</v>
      </c>
      <c r="J256" s="49"/>
    </row>
    <row r="257" spans="1:10" ht="11.25">
      <c r="A257" s="52" t="s">
        <v>245</v>
      </c>
      <c r="B257" s="55" t="s">
        <v>130</v>
      </c>
      <c r="C257" s="17" t="str">
        <f>VLOOKUP(A257,Uhikhinnad!$A$6:$F$156,2,FALSE)</f>
        <v>isevoolne kan.toru kruusateel, pinnaseteel või haljasalal</v>
      </c>
      <c r="D257" s="17" t="str">
        <f>VLOOKUP(A257,Uhikhinnad!$A$6:$F$156,3,FALSE)</f>
        <v>De630</v>
      </c>
      <c r="E257" s="18" t="str">
        <f>VLOOKUP(A257,Uhikhinnad!$A$6:$F$156,4,FALSE)</f>
        <v>m</v>
      </c>
      <c r="F257" s="19">
        <v>0</v>
      </c>
      <c r="G257" s="18">
        <f>VLOOKUP(A257,Uhikhinnad!$A$6:$F$156,5,FALSE)</f>
        <v>550</v>
      </c>
      <c r="H257" s="18">
        <f>VLOOKUP(A257,Uhikhinnad!$A$6:$F$156,6,FALSE)</f>
        <v>0</v>
      </c>
      <c r="I257" s="35">
        <f t="shared" si="9"/>
        <v>0</v>
      </c>
      <c r="J257" s="49"/>
    </row>
    <row r="258" spans="1:10" ht="11.25">
      <c r="A258" s="52" t="s">
        <v>246</v>
      </c>
      <c r="B258" s="55" t="s">
        <v>130</v>
      </c>
      <c r="C258" s="17" t="str">
        <f>VLOOKUP(A258,Uhikhinnad!$A$6:$F$156,2,FALSE)</f>
        <v>isevoolne kan.toru kruusateel, pinnaseteel või haljasalal</v>
      </c>
      <c r="D258" s="17" t="str">
        <f>VLOOKUP(A258,Uhikhinnad!$A$6:$F$156,3,FALSE)</f>
        <v>De800-De1000</v>
      </c>
      <c r="E258" s="18" t="str">
        <f>VLOOKUP(A258,Uhikhinnad!$A$6:$F$156,4,FALSE)</f>
        <v>m</v>
      </c>
      <c r="F258" s="19">
        <v>0</v>
      </c>
      <c r="G258" s="18">
        <f>VLOOKUP(A258,Uhikhinnad!$A$6:$F$156,5,FALSE)</f>
        <v>750</v>
      </c>
      <c r="H258" s="18">
        <f>VLOOKUP(A258,Uhikhinnad!$A$6:$F$156,6,FALSE)</f>
        <v>0</v>
      </c>
      <c r="I258" s="35">
        <f t="shared" si="9"/>
        <v>0</v>
      </c>
      <c r="J258" s="49"/>
    </row>
    <row r="259" spans="1:10" ht="11.25">
      <c r="A259" s="52">
        <v>302</v>
      </c>
      <c r="B259" s="55" t="s">
        <v>130</v>
      </c>
      <c r="C259" s="17" t="str">
        <f>VLOOKUP(A259,Uhikhinnad!$A$6:$F$156,2,FALSE)</f>
        <v>survekanalisatsioonitoru</v>
      </c>
      <c r="D259" s="17">
        <f>VLOOKUP(A259,Uhikhinnad!$A$6:$F$156,3,FALSE)</f>
        <v>0</v>
      </c>
      <c r="E259" s="18" t="str">
        <f>VLOOKUP(A259,Uhikhinnad!$A$6:$F$156,4,FALSE)</f>
        <v>m</v>
      </c>
      <c r="F259" s="19">
        <v>0</v>
      </c>
      <c r="G259" s="18">
        <f>VLOOKUP(A259,Uhikhinnad!$A$6:$F$156,5,FALSE)</f>
        <v>0</v>
      </c>
      <c r="H259" s="18">
        <f>VLOOKUP(A259,Uhikhinnad!$A$6:$F$156,6,FALSE)</f>
        <v>0</v>
      </c>
      <c r="I259" s="35">
        <f t="shared" si="9"/>
        <v>0</v>
      </c>
      <c r="J259" s="49"/>
    </row>
    <row r="260" spans="1:10" ht="11.25">
      <c r="A260" s="52" t="s">
        <v>153</v>
      </c>
      <c r="B260" s="55" t="s">
        <v>130</v>
      </c>
      <c r="C260" s="17" t="str">
        <f>VLOOKUP(A260,Uhikhinnad!$A$6:$F$156,2,FALSE)</f>
        <v>survekanalisatsioonitoru</v>
      </c>
      <c r="D260" s="17" t="str">
        <f>VLOOKUP(A260,Uhikhinnad!$A$6:$F$156,3,FALSE)</f>
        <v>De63-De110</v>
      </c>
      <c r="E260" s="18" t="str">
        <f>VLOOKUP(A260,Uhikhinnad!$A$6:$F$156,4,FALSE)</f>
        <v>m</v>
      </c>
      <c r="F260" s="19">
        <v>0</v>
      </c>
      <c r="G260" s="18">
        <f>VLOOKUP(A260,Uhikhinnad!$A$6:$F$156,5,FALSE)</f>
        <v>120</v>
      </c>
      <c r="H260" s="18">
        <f>VLOOKUP(A260,Uhikhinnad!$A$6:$F$156,6,FALSE)</f>
        <v>0</v>
      </c>
      <c r="I260" s="35">
        <f t="shared" si="9"/>
        <v>0</v>
      </c>
      <c r="J260" s="49"/>
    </row>
    <row r="261" spans="1:10" ht="11.25">
      <c r="A261" s="52" t="s">
        <v>157</v>
      </c>
      <c r="B261" s="55" t="s">
        <v>130</v>
      </c>
      <c r="C261" s="17" t="str">
        <f>VLOOKUP(A261,Uhikhinnad!$A$6:$F$156,2,FALSE)</f>
        <v>survekanalisatsioonitoru</v>
      </c>
      <c r="D261" s="17" t="str">
        <f>VLOOKUP(A261,Uhikhinnad!$A$6:$F$156,3,FALSE)</f>
        <v>De160-De315</v>
      </c>
      <c r="E261" s="18" t="str">
        <f>VLOOKUP(A261,Uhikhinnad!$A$6:$F$156,4,FALSE)</f>
        <v>m</v>
      </c>
      <c r="F261" s="19">
        <v>0</v>
      </c>
      <c r="G261" s="18">
        <f>VLOOKUP(A261,Uhikhinnad!$A$6:$F$156,5,FALSE)</f>
        <v>200</v>
      </c>
      <c r="H261" s="18">
        <f>VLOOKUP(A261,Uhikhinnad!$A$6:$F$156,6,FALSE)</f>
        <v>0</v>
      </c>
      <c r="I261" s="35">
        <f t="shared" si="9"/>
        <v>0</v>
      </c>
      <c r="J261" s="49"/>
    </row>
    <row r="262" spans="1:10" ht="11.25">
      <c r="A262" s="52" t="s">
        <v>158</v>
      </c>
      <c r="B262" s="55" t="s">
        <v>130</v>
      </c>
      <c r="C262" s="17" t="str">
        <f>VLOOKUP(A262,Uhikhinnad!$A$6:$F$156,2,FALSE)</f>
        <v>survekanalisatsioonitoru</v>
      </c>
      <c r="D262" s="17" t="str">
        <f>VLOOKUP(A262,Uhikhinnad!$A$6:$F$156,3,FALSE)</f>
        <v>De63-De160</v>
      </c>
      <c r="E262" s="18" t="str">
        <f>VLOOKUP(A262,Uhikhinnad!$A$6:$F$156,4,FALSE)</f>
        <v>m</v>
      </c>
      <c r="F262" s="19">
        <v>0</v>
      </c>
      <c r="G262" s="18">
        <f>VLOOKUP(A262,Uhikhinnad!$A$6:$F$156,5,FALSE)</f>
        <v>120</v>
      </c>
      <c r="H262" s="18">
        <f>VLOOKUP(A262,Uhikhinnad!$A$6:$F$156,6,FALSE)</f>
        <v>0</v>
      </c>
      <c r="I262" s="35">
        <f t="shared" si="9"/>
        <v>0</v>
      </c>
      <c r="J262" s="49"/>
    </row>
    <row r="263" spans="1:10" ht="11.25">
      <c r="A263" s="52" t="s">
        <v>159</v>
      </c>
      <c r="B263" s="55" t="s">
        <v>130</v>
      </c>
      <c r="C263" s="17" t="str">
        <f>VLOOKUP(A263,Uhikhinnad!$A$6:$F$156,2,FALSE)</f>
        <v>survekanalisatsioonitoru</v>
      </c>
      <c r="D263" s="17" t="str">
        <f>VLOOKUP(A263,Uhikhinnad!$A$6:$F$156,3,FALSE)</f>
        <v>De160-De315</v>
      </c>
      <c r="E263" s="18" t="str">
        <f>VLOOKUP(A263,Uhikhinnad!$A$6:$F$156,4,FALSE)</f>
        <v>m</v>
      </c>
      <c r="F263" s="19">
        <v>0</v>
      </c>
      <c r="G263" s="18">
        <f>VLOOKUP(A263,Uhikhinnad!$A$6:$F$156,5,FALSE)</f>
        <v>190</v>
      </c>
      <c r="H263" s="18">
        <f>VLOOKUP(A263,Uhikhinnad!$A$6:$F$156,6,FALSE)</f>
        <v>0</v>
      </c>
      <c r="I263" s="35">
        <f t="shared" si="9"/>
        <v>0</v>
      </c>
      <c r="J263" s="49"/>
    </row>
    <row r="264" spans="1:10" ht="11.25">
      <c r="A264" s="52">
        <v>303</v>
      </c>
      <c r="B264" s="55" t="s">
        <v>130</v>
      </c>
      <c r="C264" s="17" t="str">
        <f>VLOOKUP(A264,Uhikhinnad!$A$6:$F$156,2,FALSE)</f>
        <v>reoveepumpla </v>
      </c>
      <c r="D264" s="17">
        <f>VLOOKUP(A264,Uhikhinnad!$A$6:$F$156,3,FALSE)</f>
        <v>0</v>
      </c>
      <c r="E264" s="18">
        <f>VLOOKUP(A264,Uhikhinnad!$A$6:$F$156,4,FALSE)</f>
        <v>0</v>
      </c>
      <c r="F264" s="19">
        <v>0</v>
      </c>
      <c r="G264" s="18">
        <f>VLOOKUP(A264,Uhikhinnad!$A$6:$F$156,5,FALSE)</f>
        <v>0</v>
      </c>
      <c r="H264" s="18">
        <f>VLOOKUP(A264,Uhikhinnad!$A$6:$F$156,6,FALSE)</f>
        <v>0</v>
      </c>
      <c r="I264" s="35">
        <f t="shared" si="9"/>
        <v>0</v>
      </c>
      <c r="J264" s="49"/>
    </row>
    <row r="265" spans="1:10" ht="11.25">
      <c r="A265" s="52" t="s">
        <v>160</v>
      </c>
      <c r="B265" s="55" t="s">
        <v>130</v>
      </c>
      <c r="C265" s="17" t="str">
        <f>VLOOKUP(A265,Uhikhinnad!$A$6:$F$156,2,FALSE)</f>
        <v>väike reoveepumpla </v>
      </c>
      <c r="D265" s="17" t="str">
        <f>VLOOKUP(A265,Uhikhinnad!$A$6:$F$156,3,FALSE)</f>
        <v>Qarv ≤ 5 l/s</v>
      </c>
      <c r="E265" s="18" t="str">
        <f>VLOOKUP(A265,Uhikhinnad!$A$6:$F$156,4,FALSE)</f>
        <v>kmpl</v>
      </c>
      <c r="F265" s="19">
        <v>0</v>
      </c>
      <c r="G265" s="18">
        <f>VLOOKUP(A265,Uhikhinnad!$A$6:$F$156,5,FALSE)</f>
        <v>35000</v>
      </c>
      <c r="H265" s="18">
        <f>VLOOKUP(A265,Uhikhinnad!$A$6:$F$156,6,FALSE)</f>
        <v>0</v>
      </c>
      <c r="I265" s="35">
        <f t="shared" si="9"/>
        <v>0</v>
      </c>
      <c r="J265" s="49"/>
    </row>
    <row r="266" spans="1:10" ht="11.25">
      <c r="A266" s="52" t="s">
        <v>161</v>
      </c>
      <c r="B266" s="55" t="s">
        <v>130</v>
      </c>
      <c r="C266" s="17" t="str">
        <f>VLOOKUP(A266,Uhikhinnad!$A$6:$F$156,2,FALSE)</f>
        <v>keskmine reoveepumpla </v>
      </c>
      <c r="D266" s="17" t="str">
        <f>VLOOKUP(A266,Uhikhinnad!$A$6:$F$156,3,FALSE)</f>
        <v>Qarv 5 - 20 l/s</v>
      </c>
      <c r="E266" s="18" t="str">
        <f>VLOOKUP(A266,Uhikhinnad!$A$6:$F$156,4,FALSE)</f>
        <v>kmpl</v>
      </c>
      <c r="F266" s="19">
        <v>0</v>
      </c>
      <c r="G266" s="18">
        <f>VLOOKUP(A266,Uhikhinnad!$A$6:$F$156,5,FALSE)</f>
        <v>40000</v>
      </c>
      <c r="H266" s="18">
        <f>VLOOKUP(A266,Uhikhinnad!$A$6:$F$156,6,FALSE)</f>
        <v>0</v>
      </c>
      <c r="I266" s="35">
        <f t="shared" si="9"/>
        <v>0</v>
      </c>
      <c r="J266" s="49"/>
    </row>
    <row r="267" spans="1:10" ht="11.25">
      <c r="A267" s="52" t="s">
        <v>162</v>
      </c>
      <c r="B267" s="55" t="s">
        <v>130</v>
      </c>
      <c r="C267" s="17" t="str">
        <f>VLOOKUP(A267,Uhikhinnad!$A$6:$F$156,2,FALSE)</f>
        <v>suur reoveepumpla </v>
      </c>
      <c r="D267" s="17" t="str">
        <f>VLOOKUP(A267,Uhikhinnad!$A$6:$F$156,3,FALSE)</f>
        <v>Qarv ≥ 20 l/s</v>
      </c>
      <c r="E267" s="18" t="str">
        <f>VLOOKUP(A267,Uhikhinnad!$A$6:$F$156,4,FALSE)</f>
        <v>kmpl</v>
      </c>
      <c r="F267" s="19">
        <v>0</v>
      </c>
      <c r="G267" s="18">
        <f>VLOOKUP(A267,Uhikhinnad!$A$6:$F$156,5,FALSE)</f>
        <v>50000</v>
      </c>
      <c r="H267" s="18">
        <f>VLOOKUP(A267,Uhikhinnad!$A$6:$F$156,6,FALSE)</f>
        <v>0</v>
      </c>
      <c r="I267" s="35">
        <f t="shared" si="9"/>
        <v>0</v>
      </c>
      <c r="J267" s="49"/>
    </row>
    <row r="268" spans="1:10" ht="11.25">
      <c r="A268" s="52" t="s">
        <v>165</v>
      </c>
      <c r="B268" s="55" t="s">
        <v>130</v>
      </c>
      <c r="C268" s="17" t="str">
        <f>VLOOKUP(A268,Uhikhinnad!$A$6:$F$156,2,FALSE)</f>
        <v>erilahendusega reoveepumpla</v>
      </c>
      <c r="D268" s="17">
        <f>VLOOKUP(A268,Uhikhinnad!$A$6:$F$156,3,FALSE)</f>
        <v>0</v>
      </c>
      <c r="E268" s="18" t="str">
        <f>VLOOKUP(A268,Uhikhinnad!$A$6:$F$156,4,FALSE)</f>
        <v>kmpl</v>
      </c>
      <c r="F268" s="19">
        <v>0</v>
      </c>
      <c r="G268" s="18">
        <f>VLOOKUP(A268,Uhikhinnad!$A$6:$F$156,5,FALSE)</f>
        <v>0</v>
      </c>
      <c r="H268" s="18">
        <f>VLOOKUP(A268,Uhikhinnad!$A$6:$F$156,6,FALSE)</f>
        <v>0</v>
      </c>
      <c r="I268" s="35">
        <f t="shared" si="9"/>
        <v>0</v>
      </c>
      <c r="J268" s="49"/>
    </row>
    <row r="269" spans="1:10" ht="11.25">
      <c r="A269" s="52">
        <v>304</v>
      </c>
      <c r="B269" s="55" t="s">
        <v>130</v>
      </c>
      <c r="C269" s="17" t="str">
        <f>VLOOKUP(A269,Uhikhinnad!$A$6:$F$156,2,FALSE)</f>
        <v>majaühendus</v>
      </c>
      <c r="D269" s="17" t="str">
        <f>VLOOKUP(A269,Uhikhinnad!$A$6:$F$156,3,FALSE)</f>
        <v>Kontrollkaev De200, torustik ja otsakork</v>
      </c>
      <c r="E269" s="18" t="str">
        <f>VLOOKUP(A269,Uhikhinnad!$A$6:$F$156,4,FALSE)</f>
        <v>kmpl</v>
      </c>
      <c r="F269" s="19">
        <v>0</v>
      </c>
      <c r="G269" s="18">
        <f>VLOOKUP(A269,Uhikhinnad!$A$6:$F$156,5,FALSE)</f>
        <v>900</v>
      </c>
      <c r="H269" s="18">
        <f>VLOOKUP(A269,Uhikhinnad!$A$6:$F$156,6,FALSE)</f>
        <v>0</v>
      </c>
      <c r="I269" s="35">
        <f t="shared" si="9"/>
        <v>0</v>
      </c>
      <c r="J269" s="49"/>
    </row>
    <row r="270" spans="1:10" ht="11.25">
      <c r="A270" s="52"/>
      <c r="B270" s="55"/>
      <c r="C270" s="33"/>
      <c r="D270" s="32"/>
      <c r="E270" s="18"/>
      <c r="F270" s="31"/>
      <c r="G270" s="30"/>
      <c r="H270" s="30"/>
      <c r="I270" s="36"/>
      <c r="J270" s="49"/>
    </row>
    <row r="271" spans="1:12" ht="11.25">
      <c r="A271" s="52"/>
      <c r="B271" s="55"/>
      <c r="C271" s="94" t="s">
        <v>277</v>
      </c>
      <c r="D271" s="32"/>
      <c r="E271" s="18"/>
      <c r="F271" s="31"/>
      <c r="G271" s="30"/>
      <c r="H271" s="30"/>
      <c r="I271" s="95">
        <f>SUM(I272:I291)</f>
        <v>0</v>
      </c>
      <c r="J271" s="49"/>
      <c r="L271" s="51"/>
    </row>
    <row r="272" spans="1:10" ht="11.25">
      <c r="A272" s="52">
        <v>301</v>
      </c>
      <c r="B272" s="55" t="s">
        <v>129</v>
      </c>
      <c r="C272" s="17" t="str">
        <f>VLOOKUP(A272,Uhikhinnad!$A$6:$F$156,2,FALSE)</f>
        <v>isevoolne kan.toru </v>
      </c>
      <c r="D272" s="17">
        <f>VLOOKUP(A272,Uhikhinnad!$A$6:$F$156,3,FALSE)</f>
        <v>0</v>
      </c>
      <c r="E272" s="18" t="str">
        <f>VLOOKUP(A272,Uhikhinnad!$A$6:$F$156,4,FALSE)</f>
        <v>m</v>
      </c>
      <c r="F272" s="19">
        <v>0</v>
      </c>
      <c r="G272" s="18">
        <f>VLOOKUP(A272,Uhikhinnad!$A$6:$F$156,5,FALSE)</f>
        <v>0</v>
      </c>
      <c r="H272" s="18">
        <f>VLOOKUP(A272,Uhikhinnad!$A$6:$F$156,6,FALSE)</f>
        <v>0</v>
      </c>
      <c r="I272" s="35">
        <f aca="true" t="shared" si="10" ref="I272:I291">F272*G272+H272</f>
        <v>0</v>
      </c>
      <c r="J272" s="49"/>
    </row>
    <row r="273" spans="1:10" ht="11.25">
      <c r="A273" s="52" t="s">
        <v>152</v>
      </c>
      <c r="B273" s="55" t="s">
        <v>129</v>
      </c>
      <c r="C273" s="17" t="str">
        <f>VLOOKUP(A273,Uhikhinnad!$A$6:$F$156,2,FALSE)</f>
        <v>isevoolne kan.toru </v>
      </c>
      <c r="D273" s="17" t="str">
        <f>VLOOKUP(A273,Uhikhinnad!$A$6:$F$156,3,FALSE)</f>
        <v>De160-De315</v>
      </c>
      <c r="E273" s="18" t="str">
        <f>VLOOKUP(A273,Uhikhinnad!$A$6:$F$156,4,FALSE)</f>
        <v>m</v>
      </c>
      <c r="F273" s="19">
        <v>0</v>
      </c>
      <c r="G273" s="18">
        <f>VLOOKUP(A273,Uhikhinnad!$A$6:$F$156,5,FALSE)</f>
        <v>210</v>
      </c>
      <c r="H273" s="18">
        <f>VLOOKUP(A273,Uhikhinnad!$A$6:$F$156,6,FALSE)</f>
        <v>0</v>
      </c>
      <c r="I273" s="35">
        <f t="shared" si="10"/>
        <v>0</v>
      </c>
      <c r="J273" s="49"/>
    </row>
    <row r="274" spans="1:10" ht="11.25">
      <c r="A274" s="52" t="s">
        <v>154</v>
      </c>
      <c r="B274" s="55" t="s">
        <v>129</v>
      </c>
      <c r="C274" s="17" t="str">
        <f>VLOOKUP(A274,Uhikhinnad!$A$6:$F$156,2,FALSE)</f>
        <v>isevoolne kan.toru </v>
      </c>
      <c r="D274" s="17" t="str">
        <f>VLOOKUP(A274,Uhikhinnad!$A$6:$F$156,3,FALSE)</f>
        <v>De400-De630</v>
      </c>
      <c r="E274" s="18" t="str">
        <f>VLOOKUP(A274,Uhikhinnad!$A$6:$F$156,4,FALSE)</f>
        <v>m</v>
      </c>
      <c r="F274" s="19">
        <v>0</v>
      </c>
      <c r="G274" s="18">
        <f>VLOOKUP(A274,Uhikhinnad!$A$6:$F$156,5,FALSE)</f>
        <v>250</v>
      </c>
      <c r="H274" s="18">
        <f>VLOOKUP(A274,Uhikhinnad!$A$6:$F$156,6,FALSE)</f>
        <v>0</v>
      </c>
      <c r="I274" s="35">
        <f t="shared" si="10"/>
        <v>0</v>
      </c>
      <c r="J274" s="49"/>
    </row>
    <row r="275" spans="1:10" ht="11.25">
      <c r="A275" s="52" t="s">
        <v>155</v>
      </c>
      <c r="B275" s="55" t="s">
        <v>129</v>
      </c>
      <c r="C275" s="17" t="str">
        <f>VLOOKUP(A275,Uhikhinnad!$A$6:$F$156,2,FALSE)</f>
        <v>isevoolne kan.toru </v>
      </c>
      <c r="D275" s="17" t="str">
        <f>VLOOKUP(A275,Uhikhinnad!$A$6:$F$156,3,FALSE)</f>
        <v>De630</v>
      </c>
      <c r="E275" s="18" t="str">
        <f>VLOOKUP(A275,Uhikhinnad!$A$6:$F$156,4,FALSE)</f>
        <v>m</v>
      </c>
      <c r="F275" s="19">
        <v>0</v>
      </c>
      <c r="G275" s="18">
        <f>VLOOKUP(A275,Uhikhinnad!$A$6:$F$156,5,FALSE)</f>
        <v>0</v>
      </c>
      <c r="H275" s="18">
        <f>VLOOKUP(A275,Uhikhinnad!$A$6:$F$156,6,FALSE)</f>
        <v>0</v>
      </c>
      <c r="I275" s="35">
        <f t="shared" si="10"/>
        <v>0</v>
      </c>
      <c r="J275" s="49"/>
    </row>
    <row r="276" spans="1:10" ht="11.25">
      <c r="A276" s="52" t="s">
        <v>156</v>
      </c>
      <c r="B276" s="55" t="s">
        <v>129</v>
      </c>
      <c r="C276" s="17" t="str">
        <f>VLOOKUP(A276,Uhikhinnad!$A$6:$F$156,2,FALSE)</f>
        <v>isevoolne kan.toru </v>
      </c>
      <c r="D276" s="17" t="str">
        <f>VLOOKUP(A276,Uhikhinnad!$A$6:$F$156,3,FALSE)</f>
        <v>De800-De1000</v>
      </c>
      <c r="E276" s="18" t="str">
        <f>VLOOKUP(A276,Uhikhinnad!$A$6:$F$156,4,FALSE)</f>
        <v>m</v>
      </c>
      <c r="F276" s="19">
        <v>0</v>
      </c>
      <c r="G276" s="18">
        <f>VLOOKUP(A276,Uhikhinnad!$A$6:$F$156,5,FALSE)</f>
        <v>0</v>
      </c>
      <c r="H276" s="18">
        <f>VLOOKUP(A276,Uhikhinnad!$A$6:$F$156,6,FALSE)</f>
        <v>0</v>
      </c>
      <c r="I276" s="35">
        <f t="shared" si="10"/>
        <v>0</v>
      </c>
      <c r="J276" s="49"/>
    </row>
    <row r="277" spans="1:10" ht="11.25">
      <c r="A277" s="52" t="s">
        <v>243</v>
      </c>
      <c r="B277" s="55" t="s">
        <v>129</v>
      </c>
      <c r="C277" s="17" t="str">
        <f>VLOOKUP(A277,Uhikhinnad!$A$6:$F$156,2,FALSE)</f>
        <v>isevoolne kan.toru kruusateel, pinnaseteel või haljasalal</v>
      </c>
      <c r="D277" s="17" t="str">
        <f>VLOOKUP(A277,Uhikhinnad!$A$6:$F$156,3,FALSE)</f>
        <v>De160-De315</v>
      </c>
      <c r="E277" s="18" t="str">
        <f>VLOOKUP(A277,Uhikhinnad!$A$6:$F$156,4,FALSE)</f>
        <v>m</v>
      </c>
      <c r="F277" s="19">
        <v>0</v>
      </c>
      <c r="G277" s="18">
        <f>VLOOKUP(A277,Uhikhinnad!$A$6:$F$156,5,FALSE)</f>
        <v>200</v>
      </c>
      <c r="H277" s="18">
        <f>VLOOKUP(A277,Uhikhinnad!$A$6:$F$156,6,FALSE)</f>
        <v>0</v>
      </c>
      <c r="I277" s="35">
        <f t="shared" si="10"/>
        <v>0</v>
      </c>
      <c r="J277" s="49"/>
    </row>
    <row r="278" spans="1:10" ht="11.25">
      <c r="A278" s="52" t="s">
        <v>244</v>
      </c>
      <c r="B278" s="55" t="s">
        <v>129</v>
      </c>
      <c r="C278" s="17" t="str">
        <f>VLOOKUP(A278,Uhikhinnad!$A$6:$F$156,2,FALSE)</f>
        <v>isevoolne kan.toru kruusateel, pinnaseteel või haljasalal</v>
      </c>
      <c r="D278" s="17" t="str">
        <f>VLOOKUP(A278,Uhikhinnad!$A$6:$F$156,3,FALSE)</f>
        <v>De400-De630</v>
      </c>
      <c r="E278" s="18" t="str">
        <f>VLOOKUP(A278,Uhikhinnad!$A$6:$F$156,4,FALSE)</f>
        <v>m</v>
      </c>
      <c r="F278" s="19">
        <v>0</v>
      </c>
      <c r="G278" s="18">
        <f>VLOOKUP(A278,Uhikhinnad!$A$6:$F$156,5,FALSE)</f>
        <v>240</v>
      </c>
      <c r="H278" s="18">
        <f>VLOOKUP(A278,Uhikhinnad!$A$6:$F$156,6,FALSE)</f>
        <v>0</v>
      </c>
      <c r="I278" s="35">
        <f t="shared" si="10"/>
        <v>0</v>
      </c>
      <c r="J278" s="49"/>
    </row>
    <row r="279" spans="1:10" ht="11.25">
      <c r="A279" s="52" t="s">
        <v>245</v>
      </c>
      <c r="B279" s="55" t="s">
        <v>129</v>
      </c>
      <c r="C279" s="17" t="str">
        <f>VLOOKUP(A279,Uhikhinnad!$A$6:$F$156,2,FALSE)</f>
        <v>isevoolne kan.toru kruusateel, pinnaseteel või haljasalal</v>
      </c>
      <c r="D279" s="17" t="str">
        <f>VLOOKUP(A279,Uhikhinnad!$A$6:$F$156,3,FALSE)</f>
        <v>De630</v>
      </c>
      <c r="E279" s="18" t="str">
        <f>VLOOKUP(A279,Uhikhinnad!$A$6:$F$156,4,FALSE)</f>
        <v>m</v>
      </c>
      <c r="F279" s="19">
        <v>0</v>
      </c>
      <c r="G279" s="18">
        <f>VLOOKUP(A279,Uhikhinnad!$A$6:$F$156,5,FALSE)</f>
        <v>550</v>
      </c>
      <c r="H279" s="18">
        <f>VLOOKUP(A279,Uhikhinnad!$A$6:$F$156,6,FALSE)</f>
        <v>0</v>
      </c>
      <c r="I279" s="35">
        <f t="shared" si="10"/>
        <v>0</v>
      </c>
      <c r="J279" s="49"/>
    </row>
    <row r="280" spans="1:10" ht="11.25">
      <c r="A280" s="52" t="s">
        <v>246</v>
      </c>
      <c r="B280" s="55" t="s">
        <v>129</v>
      </c>
      <c r="C280" s="17" t="str">
        <f>VLOOKUP(A280,Uhikhinnad!$A$6:$F$156,2,FALSE)</f>
        <v>isevoolne kan.toru kruusateel, pinnaseteel või haljasalal</v>
      </c>
      <c r="D280" s="17" t="str">
        <f>VLOOKUP(A280,Uhikhinnad!$A$6:$F$156,3,FALSE)</f>
        <v>De800-De1000</v>
      </c>
      <c r="E280" s="18" t="str">
        <f>VLOOKUP(A280,Uhikhinnad!$A$6:$F$156,4,FALSE)</f>
        <v>m</v>
      </c>
      <c r="F280" s="19">
        <v>0</v>
      </c>
      <c r="G280" s="18">
        <f>VLOOKUP(A280,Uhikhinnad!$A$6:$F$156,5,FALSE)</f>
        <v>750</v>
      </c>
      <c r="H280" s="18">
        <f>VLOOKUP(A280,Uhikhinnad!$A$6:$F$156,6,FALSE)</f>
        <v>0</v>
      </c>
      <c r="I280" s="35">
        <f t="shared" si="10"/>
        <v>0</v>
      </c>
      <c r="J280" s="49"/>
    </row>
    <row r="281" spans="1:10" ht="11.25">
      <c r="A281" s="52">
        <v>302</v>
      </c>
      <c r="B281" s="55" t="s">
        <v>129</v>
      </c>
      <c r="C281" s="17" t="str">
        <f>VLOOKUP(A281,Uhikhinnad!$A$6:$F$156,2,FALSE)</f>
        <v>survekanalisatsioonitoru</v>
      </c>
      <c r="D281" s="17">
        <f>VLOOKUP(A281,Uhikhinnad!$A$6:$F$156,3,FALSE)</f>
        <v>0</v>
      </c>
      <c r="E281" s="18" t="str">
        <f>VLOOKUP(A281,Uhikhinnad!$A$6:$F$156,4,FALSE)</f>
        <v>m</v>
      </c>
      <c r="F281" s="19">
        <v>0</v>
      </c>
      <c r="G281" s="18">
        <f>VLOOKUP(A281,Uhikhinnad!$A$6:$F$156,5,FALSE)</f>
        <v>0</v>
      </c>
      <c r="H281" s="18">
        <f>VLOOKUP(A281,Uhikhinnad!$A$6:$F$156,6,FALSE)</f>
        <v>0</v>
      </c>
      <c r="I281" s="35">
        <f t="shared" si="10"/>
        <v>0</v>
      </c>
      <c r="J281" s="49"/>
    </row>
    <row r="282" spans="1:10" ht="11.25">
      <c r="A282" s="52" t="s">
        <v>153</v>
      </c>
      <c r="B282" s="55" t="s">
        <v>129</v>
      </c>
      <c r="C282" s="17" t="str">
        <f>VLOOKUP(A282,Uhikhinnad!$A$6:$F$156,2,FALSE)</f>
        <v>survekanalisatsioonitoru</v>
      </c>
      <c r="D282" s="17" t="str">
        <f>VLOOKUP(A282,Uhikhinnad!$A$6:$F$156,3,FALSE)</f>
        <v>De63-De110</v>
      </c>
      <c r="E282" s="18" t="str">
        <f>VLOOKUP(A282,Uhikhinnad!$A$6:$F$156,4,FALSE)</f>
        <v>m</v>
      </c>
      <c r="F282" s="19">
        <v>0</v>
      </c>
      <c r="G282" s="18">
        <f>VLOOKUP(A282,Uhikhinnad!$A$6:$F$156,5,FALSE)</f>
        <v>120</v>
      </c>
      <c r="H282" s="18">
        <f>VLOOKUP(A282,Uhikhinnad!$A$6:$F$156,6,FALSE)</f>
        <v>0</v>
      </c>
      <c r="I282" s="35">
        <f t="shared" si="10"/>
        <v>0</v>
      </c>
      <c r="J282" s="49"/>
    </row>
    <row r="283" spans="1:10" ht="11.25">
      <c r="A283" s="52" t="s">
        <v>157</v>
      </c>
      <c r="B283" s="55" t="s">
        <v>129</v>
      </c>
      <c r="C283" s="17" t="str">
        <f>VLOOKUP(A283,Uhikhinnad!$A$6:$F$156,2,FALSE)</f>
        <v>survekanalisatsioonitoru</v>
      </c>
      <c r="D283" s="17" t="str">
        <f>VLOOKUP(A283,Uhikhinnad!$A$6:$F$156,3,FALSE)</f>
        <v>De160-De315</v>
      </c>
      <c r="E283" s="18" t="str">
        <f>VLOOKUP(A283,Uhikhinnad!$A$6:$F$156,4,FALSE)</f>
        <v>m</v>
      </c>
      <c r="F283" s="19">
        <v>0</v>
      </c>
      <c r="G283" s="18">
        <f>VLOOKUP(A283,Uhikhinnad!$A$6:$F$156,5,FALSE)</f>
        <v>200</v>
      </c>
      <c r="H283" s="18">
        <f>VLOOKUP(A283,Uhikhinnad!$A$6:$F$156,6,FALSE)</f>
        <v>0</v>
      </c>
      <c r="I283" s="35">
        <f t="shared" si="10"/>
        <v>0</v>
      </c>
      <c r="J283" s="49"/>
    </row>
    <row r="284" spans="1:10" ht="11.25">
      <c r="A284" s="52" t="s">
        <v>158</v>
      </c>
      <c r="B284" s="55" t="s">
        <v>129</v>
      </c>
      <c r="C284" s="17" t="str">
        <f>VLOOKUP(A284,Uhikhinnad!$A$6:$F$156,2,FALSE)</f>
        <v>survekanalisatsioonitoru</v>
      </c>
      <c r="D284" s="17" t="str">
        <f>VLOOKUP(A284,Uhikhinnad!$A$6:$F$156,3,FALSE)</f>
        <v>De63-De160</v>
      </c>
      <c r="E284" s="18" t="str">
        <f>VLOOKUP(A284,Uhikhinnad!$A$6:$F$156,4,FALSE)</f>
        <v>m</v>
      </c>
      <c r="F284" s="19">
        <v>0</v>
      </c>
      <c r="G284" s="18">
        <f>VLOOKUP(A284,Uhikhinnad!$A$6:$F$156,5,FALSE)</f>
        <v>120</v>
      </c>
      <c r="H284" s="18">
        <f>VLOOKUP(A284,Uhikhinnad!$A$6:$F$156,6,FALSE)</f>
        <v>0</v>
      </c>
      <c r="I284" s="35">
        <f t="shared" si="10"/>
        <v>0</v>
      </c>
      <c r="J284" s="49"/>
    </row>
    <row r="285" spans="1:10" ht="11.25">
      <c r="A285" s="52" t="s">
        <v>159</v>
      </c>
      <c r="B285" s="55" t="s">
        <v>129</v>
      </c>
      <c r="C285" s="17" t="str">
        <f>VLOOKUP(A285,Uhikhinnad!$A$6:$F$156,2,FALSE)</f>
        <v>survekanalisatsioonitoru</v>
      </c>
      <c r="D285" s="17" t="str">
        <f>VLOOKUP(A285,Uhikhinnad!$A$6:$F$156,3,FALSE)</f>
        <v>De160-De315</v>
      </c>
      <c r="E285" s="18" t="str">
        <f>VLOOKUP(A285,Uhikhinnad!$A$6:$F$156,4,FALSE)</f>
        <v>m</v>
      </c>
      <c r="F285" s="19">
        <v>0</v>
      </c>
      <c r="G285" s="18">
        <f>VLOOKUP(A285,Uhikhinnad!$A$6:$F$156,5,FALSE)</f>
        <v>190</v>
      </c>
      <c r="H285" s="18">
        <f>VLOOKUP(A285,Uhikhinnad!$A$6:$F$156,6,FALSE)</f>
        <v>0</v>
      </c>
      <c r="I285" s="35">
        <f t="shared" si="10"/>
        <v>0</v>
      </c>
      <c r="J285" s="49"/>
    </row>
    <row r="286" spans="1:10" ht="11.25">
      <c r="A286" s="52">
        <v>303</v>
      </c>
      <c r="B286" s="55" t="s">
        <v>129</v>
      </c>
      <c r="C286" s="17" t="str">
        <f>VLOOKUP(A286,Uhikhinnad!$A$6:$F$156,2,FALSE)</f>
        <v>reoveepumpla </v>
      </c>
      <c r="D286" s="17">
        <f>VLOOKUP(A286,Uhikhinnad!$A$6:$F$156,3,FALSE)</f>
        <v>0</v>
      </c>
      <c r="E286" s="18">
        <f>VLOOKUP(A286,Uhikhinnad!$A$6:$F$156,4,FALSE)</f>
        <v>0</v>
      </c>
      <c r="F286" s="19">
        <v>0</v>
      </c>
      <c r="G286" s="18">
        <f>VLOOKUP(A286,Uhikhinnad!$A$6:$F$156,5,FALSE)</f>
        <v>0</v>
      </c>
      <c r="H286" s="18">
        <f>VLOOKUP(A286,Uhikhinnad!$A$6:$F$156,6,FALSE)</f>
        <v>0</v>
      </c>
      <c r="I286" s="35">
        <f t="shared" si="10"/>
        <v>0</v>
      </c>
      <c r="J286" s="49"/>
    </row>
    <row r="287" spans="1:10" ht="11.25">
      <c r="A287" s="52" t="s">
        <v>160</v>
      </c>
      <c r="B287" s="55" t="s">
        <v>129</v>
      </c>
      <c r="C287" s="17" t="str">
        <f>VLOOKUP(A287,Uhikhinnad!$A$6:$F$156,2,FALSE)</f>
        <v>väike reoveepumpla </v>
      </c>
      <c r="D287" s="17" t="str">
        <f>VLOOKUP(A287,Uhikhinnad!$A$6:$F$156,3,FALSE)</f>
        <v>Qarv ≤ 5 l/s</v>
      </c>
      <c r="E287" s="18" t="str">
        <f>VLOOKUP(A287,Uhikhinnad!$A$6:$F$156,4,FALSE)</f>
        <v>kmpl</v>
      </c>
      <c r="F287" s="19">
        <v>0</v>
      </c>
      <c r="G287" s="18">
        <f>VLOOKUP(A287,Uhikhinnad!$A$6:$F$156,5,FALSE)</f>
        <v>35000</v>
      </c>
      <c r="H287" s="18">
        <f>VLOOKUP(A287,Uhikhinnad!$A$6:$F$156,6,FALSE)</f>
        <v>0</v>
      </c>
      <c r="I287" s="35">
        <f t="shared" si="10"/>
        <v>0</v>
      </c>
      <c r="J287" s="49"/>
    </row>
    <row r="288" spans="1:10" ht="11.25">
      <c r="A288" s="52" t="s">
        <v>161</v>
      </c>
      <c r="B288" s="55" t="s">
        <v>129</v>
      </c>
      <c r="C288" s="17" t="str">
        <f>VLOOKUP(A288,Uhikhinnad!$A$6:$F$156,2,FALSE)</f>
        <v>keskmine reoveepumpla </v>
      </c>
      <c r="D288" s="17" t="str">
        <f>VLOOKUP(A288,Uhikhinnad!$A$6:$F$156,3,FALSE)</f>
        <v>Qarv 5 - 20 l/s</v>
      </c>
      <c r="E288" s="18" t="str">
        <f>VLOOKUP(A288,Uhikhinnad!$A$6:$F$156,4,FALSE)</f>
        <v>kmpl</v>
      </c>
      <c r="F288" s="19">
        <v>0</v>
      </c>
      <c r="G288" s="18">
        <f>VLOOKUP(A288,Uhikhinnad!$A$6:$F$156,5,FALSE)</f>
        <v>40000</v>
      </c>
      <c r="H288" s="18">
        <f>VLOOKUP(A288,Uhikhinnad!$A$6:$F$156,6,FALSE)</f>
        <v>0</v>
      </c>
      <c r="I288" s="35">
        <f t="shared" si="10"/>
        <v>0</v>
      </c>
      <c r="J288" s="49"/>
    </row>
    <row r="289" spans="1:10" ht="11.25">
      <c r="A289" s="52" t="s">
        <v>162</v>
      </c>
      <c r="B289" s="55" t="s">
        <v>129</v>
      </c>
      <c r="C289" s="17" t="str">
        <f>VLOOKUP(A289,Uhikhinnad!$A$6:$F$156,2,FALSE)</f>
        <v>suur reoveepumpla </v>
      </c>
      <c r="D289" s="17" t="str">
        <f>VLOOKUP(A289,Uhikhinnad!$A$6:$F$156,3,FALSE)</f>
        <v>Qarv ≥ 20 l/s</v>
      </c>
      <c r="E289" s="18" t="str">
        <f>VLOOKUP(A289,Uhikhinnad!$A$6:$F$156,4,FALSE)</f>
        <v>kmpl</v>
      </c>
      <c r="F289" s="19">
        <v>0</v>
      </c>
      <c r="G289" s="18">
        <f>VLOOKUP(A289,Uhikhinnad!$A$6:$F$156,5,FALSE)</f>
        <v>50000</v>
      </c>
      <c r="H289" s="18">
        <f>VLOOKUP(A289,Uhikhinnad!$A$6:$F$156,6,FALSE)</f>
        <v>0</v>
      </c>
      <c r="I289" s="35">
        <f t="shared" si="10"/>
        <v>0</v>
      </c>
      <c r="J289" s="49"/>
    </row>
    <row r="290" spans="1:10" ht="11.25">
      <c r="A290" s="52" t="s">
        <v>165</v>
      </c>
      <c r="B290" s="55" t="s">
        <v>129</v>
      </c>
      <c r="C290" s="17" t="str">
        <f>VLOOKUP(A290,Uhikhinnad!$A$6:$F$156,2,FALSE)</f>
        <v>erilahendusega reoveepumpla</v>
      </c>
      <c r="D290" s="17">
        <f>VLOOKUP(A290,Uhikhinnad!$A$6:$F$156,3,FALSE)</f>
        <v>0</v>
      </c>
      <c r="E290" s="18" t="str">
        <f>VLOOKUP(A290,Uhikhinnad!$A$6:$F$156,4,FALSE)</f>
        <v>kmpl</v>
      </c>
      <c r="F290" s="19">
        <v>0</v>
      </c>
      <c r="G290" s="18">
        <f>VLOOKUP(A290,Uhikhinnad!$A$6:$F$156,5,FALSE)</f>
        <v>0</v>
      </c>
      <c r="H290" s="18">
        <f>VLOOKUP(A290,Uhikhinnad!$A$6:$F$156,6,FALSE)</f>
        <v>0</v>
      </c>
      <c r="I290" s="35">
        <f t="shared" si="10"/>
        <v>0</v>
      </c>
      <c r="J290" s="49"/>
    </row>
    <row r="291" spans="1:10" ht="11.25">
      <c r="A291" s="52">
        <v>304</v>
      </c>
      <c r="B291" s="55" t="s">
        <v>129</v>
      </c>
      <c r="C291" s="17" t="str">
        <f>VLOOKUP(A291,Uhikhinnad!$A$6:$F$156,2,FALSE)</f>
        <v>majaühendus</v>
      </c>
      <c r="D291" s="17" t="str">
        <f>VLOOKUP(A291,Uhikhinnad!$A$6:$F$156,3,FALSE)</f>
        <v>Kontrollkaev De200, torustik ja otsakork</v>
      </c>
      <c r="E291" s="18" t="str">
        <f>VLOOKUP(A291,Uhikhinnad!$A$6:$F$156,4,FALSE)</f>
        <v>kmpl</v>
      </c>
      <c r="F291" s="19">
        <v>0</v>
      </c>
      <c r="G291" s="18">
        <f>VLOOKUP(A291,Uhikhinnad!$A$6:$F$156,5,FALSE)</f>
        <v>900</v>
      </c>
      <c r="H291" s="18">
        <f>VLOOKUP(A291,Uhikhinnad!$A$6:$F$156,6,FALSE)</f>
        <v>0</v>
      </c>
      <c r="I291" s="35">
        <f t="shared" si="10"/>
        <v>0</v>
      </c>
      <c r="J291" s="49"/>
    </row>
    <row r="292" spans="1:10" ht="11.25">
      <c r="A292" s="52"/>
      <c r="B292" s="55"/>
      <c r="C292" s="17"/>
      <c r="D292" s="17"/>
      <c r="E292" s="18"/>
      <c r="F292" s="19"/>
      <c r="G292" s="18"/>
      <c r="H292" s="18"/>
      <c r="I292" s="35"/>
      <c r="J292" s="49"/>
    </row>
    <row r="293" spans="1:10" ht="11.25">
      <c r="A293" s="52"/>
      <c r="B293" s="55"/>
      <c r="C293" s="12" t="s">
        <v>123</v>
      </c>
      <c r="D293" s="30"/>
      <c r="E293" s="18"/>
      <c r="F293" s="31"/>
      <c r="G293" s="30"/>
      <c r="H293" s="30"/>
      <c r="I293" s="36"/>
      <c r="J293" s="49"/>
    </row>
    <row r="294" spans="1:10" ht="11.25">
      <c r="A294" s="52"/>
      <c r="B294" s="55"/>
      <c r="C294" s="94" t="s">
        <v>280</v>
      </c>
      <c r="D294" s="32"/>
      <c r="E294" s="18"/>
      <c r="F294" s="31"/>
      <c r="G294" s="30"/>
      <c r="H294" s="30"/>
      <c r="I294" s="95">
        <f>SUM(I295:I314)</f>
        <v>0</v>
      </c>
      <c r="J294" s="49"/>
    </row>
    <row r="295" spans="1:10" ht="11.25">
      <c r="A295" s="52">
        <v>301</v>
      </c>
      <c r="B295" s="55" t="s">
        <v>130</v>
      </c>
      <c r="C295" s="17" t="str">
        <f>VLOOKUP(A295,Uhikhinnad!$A$6:$F$156,2,FALSE)</f>
        <v>isevoolne kan.toru </v>
      </c>
      <c r="D295" s="17">
        <f>VLOOKUP(A295,Uhikhinnad!$A$6:$F$156,3,FALSE)</f>
        <v>0</v>
      </c>
      <c r="E295" s="18" t="str">
        <f>VLOOKUP(A295,Uhikhinnad!$A$6:$F$156,4,FALSE)</f>
        <v>m</v>
      </c>
      <c r="F295" s="19">
        <v>0</v>
      </c>
      <c r="G295" s="18">
        <f>VLOOKUP(A295,Uhikhinnad!$A$6:$F$156,5,FALSE)</f>
        <v>0</v>
      </c>
      <c r="H295" s="18">
        <f>VLOOKUP(A295,Uhikhinnad!$A$6:$F$156,6,FALSE)</f>
        <v>0</v>
      </c>
      <c r="I295" s="35">
        <f>F295*G295+H295</f>
        <v>0</v>
      </c>
      <c r="J295" s="49"/>
    </row>
    <row r="296" spans="1:10" ht="11.25">
      <c r="A296" s="52" t="s">
        <v>152</v>
      </c>
      <c r="B296" s="55" t="s">
        <v>130</v>
      </c>
      <c r="C296" s="17" t="str">
        <f>VLOOKUP(A296,Uhikhinnad!$A$6:$F$156,2,FALSE)</f>
        <v>isevoolne kan.toru </v>
      </c>
      <c r="D296" s="17" t="str">
        <f>VLOOKUP(A296,Uhikhinnad!$A$6:$F$156,3,FALSE)</f>
        <v>De160-De315</v>
      </c>
      <c r="E296" s="18" t="str">
        <f>VLOOKUP(A296,Uhikhinnad!$A$6:$F$156,4,FALSE)</f>
        <v>m</v>
      </c>
      <c r="F296" s="19">
        <v>0</v>
      </c>
      <c r="G296" s="18">
        <f>VLOOKUP(A296,Uhikhinnad!$A$6:$F$156,5,FALSE)</f>
        <v>210</v>
      </c>
      <c r="H296" s="18">
        <f>VLOOKUP(A296,Uhikhinnad!$A$6:$F$156,6,FALSE)</f>
        <v>0</v>
      </c>
      <c r="I296" s="35">
        <f aca="true" t="shared" si="11" ref="I296:I314">F296*G296+H296</f>
        <v>0</v>
      </c>
      <c r="J296" s="49"/>
    </row>
    <row r="297" spans="1:10" ht="11.25">
      <c r="A297" s="52" t="s">
        <v>154</v>
      </c>
      <c r="B297" s="55" t="s">
        <v>130</v>
      </c>
      <c r="C297" s="17" t="str">
        <f>VLOOKUP(A297,Uhikhinnad!$A$6:$F$156,2,FALSE)</f>
        <v>isevoolne kan.toru </v>
      </c>
      <c r="D297" s="17" t="str">
        <f>VLOOKUP(A297,Uhikhinnad!$A$6:$F$156,3,FALSE)</f>
        <v>De400-De630</v>
      </c>
      <c r="E297" s="18" t="str">
        <f>VLOOKUP(A297,Uhikhinnad!$A$6:$F$156,4,FALSE)</f>
        <v>m</v>
      </c>
      <c r="F297" s="19">
        <v>0</v>
      </c>
      <c r="G297" s="18">
        <f>VLOOKUP(A297,Uhikhinnad!$A$6:$F$156,5,FALSE)</f>
        <v>250</v>
      </c>
      <c r="H297" s="18">
        <f>VLOOKUP(A297,Uhikhinnad!$A$6:$F$156,6,FALSE)</f>
        <v>0</v>
      </c>
      <c r="I297" s="35">
        <f t="shared" si="11"/>
        <v>0</v>
      </c>
      <c r="J297" s="49"/>
    </row>
    <row r="298" spans="1:10" ht="11.25">
      <c r="A298" s="52" t="s">
        <v>155</v>
      </c>
      <c r="B298" s="55" t="s">
        <v>130</v>
      </c>
      <c r="C298" s="17" t="str">
        <f>VLOOKUP(A298,Uhikhinnad!$A$6:$F$156,2,FALSE)</f>
        <v>isevoolne kan.toru </v>
      </c>
      <c r="D298" s="17" t="str">
        <f>VLOOKUP(A298,Uhikhinnad!$A$6:$F$156,3,FALSE)</f>
        <v>De630</v>
      </c>
      <c r="E298" s="18" t="str">
        <f>VLOOKUP(A298,Uhikhinnad!$A$6:$F$156,4,FALSE)</f>
        <v>m</v>
      </c>
      <c r="F298" s="19">
        <v>0</v>
      </c>
      <c r="G298" s="18">
        <f>VLOOKUP(A298,Uhikhinnad!$A$6:$F$156,5,FALSE)</f>
        <v>0</v>
      </c>
      <c r="H298" s="18">
        <f>VLOOKUP(A298,Uhikhinnad!$A$6:$F$156,6,FALSE)</f>
        <v>0</v>
      </c>
      <c r="I298" s="35">
        <f t="shared" si="11"/>
        <v>0</v>
      </c>
      <c r="J298" s="49"/>
    </row>
    <row r="299" spans="1:10" ht="11.25">
      <c r="A299" s="52" t="s">
        <v>156</v>
      </c>
      <c r="B299" s="55" t="s">
        <v>130</v>
      </c>
      <c r="C299" s="17" t="str">
        <f>VLOOKUP(A299,Uhikhinnad!$A$6:$F$156,2,FALSE)</f>
        <v>isevoolne kan.toru </v>
      </c>
      <c r="D299" s="17" t="str">
        <f>VLOOKUP(A299,Uhikhinnad!$A$6:$F$156,3,FALSE)</f>
        <v>De800-De1000</v>
      </c>
      <c r="E299" s="18" t="str">
        <f>VLOOKUP(A299,Uhikhinnad!$A$6:$F$156,4,FALSE)</f>
        <v>m</v>
      </c>
      <c r="F299" s="19">
        <v>0</v>
      </c>
      <c r="G299" s="18">
        <f>VLOOKUP(A299,Uhikhinnad!$A$6:$F$156,5,FALSE)</f>
        <v>0</v>
      </c>
      <c r="H299" s="18">
        <f>VLOOKUP(A299,Uhikhinnad!$A$6:$F$156,6,FALSE)</f>
        <v>0</v>
      </c>
      <c r="I299" s="35">
        <f t="shared" si="11"/>
        <v>0</v>
      </c>
      <c r="J299" s="49"/>
    </row>
    <row r="300" spans="1:10" ht="11.25">
      <c r="A300" s="52" t="s">
        <v>243</v>
      </c>
      <c r="B300" s="55" t="s">
        <v>130</v>
      </c>
      <c r="C300" s="17" t="str">
        <f>VLOOKUP(A300,Uhikhinnad!$A$6:$F$156,2,FALSE)</f>
        <v>isevoolne kan.toru kruusateel, pinnaseteel või haljasalal</v>
      </c>
      <c r="D300" s="17" t="str">
        <f>VLOOKUP(A300,Uhikhinnad!$A$6:$F$156,3,FALSE)</f>
        <v>De160-De315</v>
      </c>
      <c r="E300" s="18" t="str">
        <f>VLOOKUP(A300,Uhikhinnad!$A$6:$F$156,4,FALSE)</f>
        <v>m</v>
      </c>
      <c r="F300" s="19">
        <v>0</v>
      </c>
      <c r="G300" s="18">
        <f>VLOOKUP(A300,Uhikhinnad!$A$6:$F$156,5,FALSE)</f>
        <v>200</v>
      </c>
      <c r="H300" s="18">
        <f>VLOOKUP(A300,Uhikhinnad!$A$6:$F$156,6,FALSE)</f>
        <v>0</v>
      </c>
      <c r="I300" s="35">
        <f t="shared" si="11"/>
        <v>0</v>
      </c>
      <c r="J300" s="49"/>
    </row>
    <row r="301" spans="1:10" ht="11.25">
      <c r="A301" s="52" t="s">
        <v>244</v>
      </c>
      <c r="B301" s="55" t="s">
        <v>130</v>
      </c>
      <c r="C301" s="17" t="str">
        <f>VLOOKUP(A301,Uhikhinnad!$A$6:$F$156,2,FALSE)</f>
        <v>isevoolne kan.toru kruusateel, pinnaseteel või haljasalal</v>
      </c>
      <c r="D301" s="17" t="str">
        <f>VLOOKUP(A301,Uhikhinnad!$A$6:$F$156,3,FALSE)</f>
        <v>De400-De630</v>
      </c>
      <c r="E301" s="18" t="str">
        <f>VLOOKUP(A301,Uhikhinnad!$A$6:$F$156,4,FALSE)</f>
        <v>m</v>
      </c>
      <c r="F301" s="19">
        <v>0</v>
      </c>
      <c r="G301" s="18">
        <f>VLOOKUP(A301,Uhikhinnad!$A$6:$F$156,5,FALSE)</f>
        <v>240</v>
      </c>
      <c r="H301" s="18">
        <f>VLOOKUP(A301,Uhikhinnad!$A$6:$F$156,6,FALSE)</f>
        <v>0</v>
      </c>
      <c r="I301" s="35">
        <f t="shared" si="11"/>
        <v>0</v>
      </c>
      <c r="J301" s="49"/>
    </row>
    <row r="302" spans="1:10" ht="11.25">
      <c r="A302" s="52" t="s">
        <v>245</v>
      </c>
      <c r="B302" s="55" t="s">
        <v>130</v>
      </c>
      <c r="C302" s="17" t="str">
        <f>VLOOKUP(A302,Uhikhinnad!$A$6:$F$156,2,FALSE)</f>
        <v>isevoolne kan.toru kruusateel, pinnaseteel või haljasalal</v>
      </c>
      <c r="D302" s="17" t="str">
        <f>VLOOKUP(A302,Uhikhinnad!$A$6:$F$156,3,FALSE)</f>
        <v>De630</v>
      </c>
      <c r="E302" s="18" t="str">
        <f>VLOOKUP(A302,Uhikhinnad!$A$6:$F$156,4,FALSE)</f>
        <v>m</v>
      </c>
      <c r="F302" s="19">
        <v>0</v>
      </c>
      <c r="G302" s="18">
        <f>VLOOKUP(A302,Uhikhinnad!$A$6:$F$156,5,FALSE)</f>
        <v>550</v>
      </c>
      <c r="H302" s="18">
        <f>VLOOKUP(A302,Uhikhinnad!$A$6:$F$156,6,FALSE)</f>
        <v>0</v>
      </c>
      <c r="I302" s="35">
        <f t="shared" si="11"/>
        <v>0</v>
      </c>
      <c r="J302" s="49"/>
    </row>
    <row r="303" spans="1:10" ht="11.25">
      <c r="A303" s="52" t="s">
        <v>246</v>
      </c>
      <c r="B303" s="55" t="s">
        <v>130</v>
      </c>
      <c r="C303" s="17" t="str">
        <f>VLOOKUP(A303,Uhikhinnad!$A$6:$F$156,2,FALSE)</f>
        <v>isevoolne kan.toru kruusateel, pinnaseteel või haljasalal</v>
      </c>
      <c r="D303" s="17" t="str">
        <f>VLOOKUP(A303,Uhikhinnad!$A$6:$F$156,3,FALSE)</f>
        <v>De800-De1000</v>
      </c>
      <c r="E303" s="18" t="str">
        <f>VLOOKUP(A303,Uhikhinnad!$A$6:$F$156,4,FALSE)</f>
        <v>m</v>
      </c>
      <c r="F303" s="19">
        <v>0</v>
      </c>
      <c r="G303" s="18">
        <f>VLOOKUP(A303,Uhikhinnad!$A$6:$F$156,5,FALSE)</f>
        <v>750</v>
      </c>
      <c r="H303" s="18">
        <f>VLOOKUP(A303,Uhikhinnad!$A$6:$F$156,6,FALSE)</f>
        <v>0</v>
      </c>
      <c r="I303" s="35">
        <f t="shared" si="11"/>
        <v>0</v>
      </c>
      <c r="J303" s="49"/>
    </row>
    <row r="304" spans="1:10" ht="11.25">
      <c r="A304" s="52">
        <v>302</v>
      </c>
      <c r="B304" s="55" t="s">
        <v>130</v>
      </c>
      <c r="C304" s="17" t="str">
        <f>VLOOKUP(A304,Uhikhinnad!$A$6:$F$156,2,FALSE)</f>
        <v>survekanalisatsioonitoru</v>
      </c>
      <c r="D304" s="17">
        <f>VLOOKUP(A304,Uhikhinnad!$A$6:$F$156,3,FALSE)</f>
        <v>0</v>
      </c>
      <c r="E304" s="18" t="str">
        <f>VLOOKUP(A304,Uhikhinnad!$A$6:$F$156,4,FALSE)</f>
        <v>m</v>
      </c>
      <c r="F304" s="19">
        <v>0</v>
      </c>
      <c r="G304" s="18">
        <f>VLOOKUP(A304,Uhikhinnad!$A$6:$F$156,5,FALSE)</f>
        <v>0</v>
      </c>
      <c r="H304" s="18">
        <f>VLOOKUP(A304,Uhikhinnad!$A$6:$F$156,6,FALSE)</f>
        <v>0</v>
      </c>
      <c r="I304" s="35">
        <f t="shared" si="11"/>
        <v>0</v>
      </c>
      <c r="J304" s="49"/>
    </row>
    <row r="305" spans="1:10" ht="11.25">
      <c r="A305" s="52" t="s">
        <v>153</v>
      </c>
      <c r="B305" s="55" t="s">
        <v>130</v>
      </c>
      <c r="C305" s="17" t="str">
        <f>VLOOKUP(A305,Uhikhinnad!$A$6:$F$156,2,FALSE)</f>
        <v>survekanalisatsioonitoru</v>
      </c>
      <c r="D305" s="17" t="str">
        <f>VLOOKUP(A305,Uhikhinnad!$A$6:$F$156,3,FALSE)</f>
        <v>De63-De110</v>
      </c>
      <c r="E305" s="18" t="str">
        <f>VLOOKUP(A305,Uhikhinnad!$A$6:$F$156,4,FALSE)</f>
        <v>m</v>
      </c>
      <c r="F305" s="19">
        <v>0</v>
      </c>
      <c r="G305" s="18">
        <f>VLOOKUP(A305,Uhikhinnad!$A$6:$F$156,5,FALSE)</f>
        <v>120</v>
      </c>
      <c r="H305" s="18">
        <f>VLOOKUP(A305,Uhikhinnad!$A$6:$F$156,6,FALSE)</f>
        <v>0</v>
      </c>
      <c r="I305" s="35">
        <f t="shared" si="11"/>
        <v>0</v>
      </c>
      <c r="J305" s="49"/>
    </row>
    <row r="306" spans="1:10" ht="11.25">
      <c r="A306" s="52" t="s">
        <v>157</v>
      </c>
      <c r="B306" s="55" t="s">
        <v>130</v>
      </c>
      <c r="C306" s="17" t="str">
        <f>VLOOKUP(A306,Uhikhinnad!$A$6:$F$156,2,FALSE)</f>
        <v>survekanalisatsioonitoru</v>
      </c>
      <c r="D306" s="17" t="str">
        <f>VLOOKUP(A306,Uhikhinnad!$A$6:$F$156,3,FALSE)</f>
        <v>De160-De315</v>
      </c>
      <c r="E306" s="18" t="str">
        <f>VLOOKUP(A306,Uhikhinnad!$A$6:$F$156,4,FALSE)</f>
        <v>m</v>
      </c>
      <c r="F306" s="19">
        <v>0</v>
      </c>
      <c r="G306" s="18">
        <f>VLOOKUP(A306,Uhikhinnad!$A$6:$F$156,5,FALSE)</f>
        <v>200</v>
      </c>
      <c r="H306" s="18">
        <f>VLOOKUP(A306,Uhikhinnad!$A$6:$F$156,6,FALSE)</f>
        <v>0</v>
      </c>
      <c r="I306" s="35">
        <f t="shared" si="11"/>
        <v>0</v>
      </c>
      <c r="J306" s="49"/>
    </row>
    <row r="307" spans="1:10" ht="11.25">
      <c r="A307" s="52" t="s">
        <v>158</v>
      </c>
      <c r="B307" s="55" t="s">
        <v>130</v>
      </c>
      <c r="C307" s="17" t="str">
        <f>VLOOKUP(A307,Uhikhinnad!$A$6:$F$156,2,FALSE)</f>
        <v>survekanalisatsioonitoru</v>
      </c>
      <c r="D307" s="17" t="str">
        <f>VLOOKUP(A307,Uhikhinnad!$A$6:$F$156,3,FALSE)</f>
        <v>De63-De160</v>
      </c>
      <c r="E307" s="18" t="str">
        <f>VLOOKUP(A307,Uhikhinnad!$A$6:$F$156,4,FALSE)</f>
        <v>m</v>
      </c>
      <c r="F307" s="19">
        <v>0</v>
      </c>
      <c r="G307" s="18">
        <f>VLOOKUP(A307,Uhikhinnad!$A$6:$F$156,5,FALSE)</f>
        <v>120</v>
      </c>
      <c r="H307" s="18">
        <f>VLOOKUP(A307,Uhikhinnad!$A$6:$F$156,6,FALSE)</f>
        <v>0</v>
      </c>
      <c r="I307" s="35">
        <f t="shared" si="11"/>
        <v>0</v>
      </c>
      <c r="J307" s="49"/>
    </row>
    <row r="308" spans="1:10" ht="11.25">
      <c r="A308" s="52" t="s">
        <v>159</v>
      </c>
      <c r="B308" s="55" t="s">
        <v>130</v>
      </c>
      <c r="C308" s="17" t="str">
        <f>VLOOKUP(A308,Uhikhinnad!$A$6:$F$156,2,FALSE)</f>
        <v>survekanalisatsioonitoru</v>
      </c>
      <c r="D308" s="17" t="str">
        <f>VLOOKUP(A308,Uhikhinnad!$A$6:$F$156,3,FALSE)</f>
        <v>De160-De315</v>
      </c>
      <c r="E308" s="18" t="str">
        <f>VLOOKUP(A308,Uhikhinnad!$A$6:$F$156,4,FALSE)</f>
        <v>m</v>
      </c>
      <c r="F308" s="19">
        <v>0</v>
      </c>
      <c r="G308" s="18">
        <f>VLOOKUP(A308,Uhikhinnad!$A$6:$F$156,5,FALSE)</f>
        <v>190</v>
      </c>
      <c r="H308" s="18">
        <f>VLOOKUP(A308,Uhikhinnad!$A$6:$F$156,6,FALSE)</f>
        <v>0</v>
      </c>
      <c r="I308" s="35">
        <f t="shared" si="11"/>
        <v>0</v>
      </c>
      <c r="J308" s="49"/>
    </row>
    <row r="309" spans="1:10" ht="11.25">
      <c r="A309" s="52">
        <v>303</v>
      </c>
      <c r="B309" s="55" t="s">
        <v>130</v>
      </c>
      <c r="C309" s="17" t="str">
        <f>VLOOKUP(A309,Uhikhinnad!$A$6:$F$156,2,FALSE)</f>
        <v>reoveepumpla </v>
      </c>
      <c r="D309" s="17">
        <f>VLOOKUP(A309,Uhikhinnad!$A$6:$F$156,3,FALSE)</f>
        <v>0</v>
      </c>
      <c r="E309" s="18">
        <f>VLOOKUP(A309,Uhikhinnad!$A$6:$F$156,4,FALSE)</f>
        <v>0</v>
      </c>
      <c r="F309" s="19">
        <v>0</v>
      </c>
      <c r="G309" s="18">
        <f>VLOOKUP(A309,Uhikhinnad!$A$6:$F$156,5,FALSE)</f>
        <v>0</v>
      </c>
      <c r="H309" s="18">
        <f>VLOOKUP(A309,Uhikhinnad!$A$6:$F$156,6,FALSE)</f>
        <v>0</v>
      </c>
      <c r="I309" s="35">
        <f t="shared" si="11"/>
        <v>0</v>
      </c>
      <c r="J309" s="49"/>
    </row>
    <row r="310" spans="1:10" ht="11.25">
      <c r="A310" s="52" t="s">
        <v>160</v>
      </c>
      <c r="B310" s="55" t="s">
        <v>130</v>
      </c>
      <c r="C310" s="17" t="str">
        <f>VLOOKUP(A310,Uhikhinnad!$A$6:$F$156,2,FALSE)</f>
        <v>väike reoveepumpla </v>
      </c>
      <c r="D310" s="17" t="str">
        <f>VLOOKUP(A310,Uhikhinnad!$A$6:$F$156,3,FALSE)</f>
        <v>Qarv ≤ 5 l/s</v>
      </c>
      <c r="E310" s="18" t="str">
        <f>VLOOKUP(A310,Uhikhinnad!$A$6:$F$156,4,FALSE)</f>
        <v>kmpl</v>
      </c>
      <c r="F310" s="19">
        <v>0</v>
      </c>
      <c r="G310" s="18">
        <f>VLOOKUP(A310,Uhikhinnad!$A$6:$F$156,5,FALSE)</f>
        <v>35000</v>
      </c>
      <c r="H310" s="18">
        <f>VLOOKUP(A310,Uhikhinnad!$A$6:$F$156,6,FALSE)</f>
        <v>0</v>
      </c>
      <c r="I310" s="35">
        <f t="shared" si="11"/>
        <v>0</v>
      </c>
      <c r="J310" s="49"/>
    </row>
    <row r="311" spans="1:10" ht="11.25">
      <c r="A311" s="52" t="s">
        <v>161</v>
      </c>
      <c r="B311" s="55" t="s">
        <v>130</v>
      </c>
      <c r="C311" s="17" t="str">
        <f>VLOOKUP(A311,Uhikhinnad!$A$6:$F$156,2,FALSE)</f>
        <v>keskmine reoveepumpla </v>
      </c>
      <c r="D311" s="17" t="str">
        <f>VLOOKUP(A311,Uhikhinnad!$A$6:$F$156,3,FALSE)</f>
        <v>Qarv 5 - 20 l/s</v>
      </c>
      <c r="E311" s="18" t="str">
        <f>VLOOKUP(A311,Uhikhinnad!$A$6:$F$156,4,FALSE)</f>
        <v>kmpl</v>
      </c>
      <c r="F311" s="19">
        <v>0</v>
      </c>
      <c r="G311" s="18">
        <f>VLOOKUP(A311,Uhikhinnad!$A$6:$F$156,5,FALSE)</f>
        <v>40000</v>
      </c>
      <c r="H311" s="18">
        <f>VLOOKUP(A311,Uhikhinnad!$A$6:$F$156,6,FALSE)</f>
        <v>0</v>
      </c>
      <c r="I311" s="35">
        <f t="shared" si="11"/>
        <v>0</v>
      </c>
      <c r="J311" s="49"/>
    </row>
    <row r="312" spans="1:10" ht="11.25">
      <c r="A312" s="52" t="s">
        <v>162</v>
      </c>
      <c r="B312" s="55" t="s">
        <v>130</v>
      </c>
      <c r="C312" s="17" t="str">
        <f>VLOOKUP(A312,Uhikhinnad!$A$6:$F$156,2,FALSE)</f>
        <v>suur reoveepumpla </v>
      </c>
      <c r="D312" s="17" t="str">
        <f>VLOOKUP(A312,Uhikhinnad!$A$6:$F$156,3,FALSE)</f>
        <v>Qarv ≥ 20 l/s</v>
      </c>
      <c r="E312" s="18" t="str">
        <f>VLOOKUP(A312,Uhikhinnad!$A$6:$F$156,4,FALSE)</f>
        <v>kmpl</v>
      </c>
      <c r="F312" s="19">
        <v>0</v>
      </c>
      <c r="G312" s="18">
        <f>VLOOKUP(A312,Uhikhinnad!$A$6:$F$156,5,FALSE)</f>
        <v>50000</v>
      </c>
      <c r="H312" s="18">
        <f>VLOOKUP(A312,Uhikhinnad!$A$6:$F$156,6,FALSE)</f>
        <v>0</v>
      </c>
      <c r="I312" s="35">
        <f t="shared" si="11"/>
        <v>0</v>
      </c>
      <c r="J312" s="49"/>
    </row>
    <row r="313" spans="1:10" ht="11.25">
      <c r="A313" s="52" t="s">
        <v>165</v>
      </c>
      <c r="B313" s="55" t="s">
        <v>130</v>
      </c>
      <c r="C313" s="17" t="str">
        <f>VLOOKUP(A313,Uhikhinnad!$A$6:$F$156,2,FALSE)</f>
        <v>erilahendusega reoveepumpla</v>
      </c>
      <c r="D313" s="17">
        <f>VLOOKUP(A313,Uhikhinnad!$A$6:$F$156,3,FALSE)</f>
        <v>0</v>
      </c>
      <c r="E313" s="18" t="str">
        <f>VLOOKUP(A313,Uhikhinnad!$A$6:$F$156,4,FALSE)</f>
        <v>kmpl</v>
      </c>
      <c r="F313" s="19">
        <v>0</v>
      </c>
      <c r="G313" s="18">
        <f>VLOOKUP(A313,Uhikhinnad!$A$6:$F$156,5,FALSE)</f>
        <v>0</v>
      </c>
      <c r="H313" s="18">
        <f>VLOOKUP(A313,Uhikhinnad!$A$6:$F$156,6,FALSE)</f>
        <v>0</v>
      </c>
      <c r="I313" s="35">
        <f t="shared" si="11"/>
        <v>0</v>
      </c>
      <c r="J313" s="49"/>
    </row>
    <row r="314" spans="1:10" ht="11.25">
      <c r="A314" s="52">
        <v>304</v>
      </c>
      <c r="B314" s="55" t="s">
        <v>130</v>
      </c>
      <c r="C314" s="17" t="str">
        <f>VLOOKUP(A314,Uhikhinnad!$A$6:$F$156,2,FALSE)</f>
        <v>majaühendus</v>
      </c>
      <c r="D314" s="17" t="str">
        <f>VLOOKUP(A314,Uhikhinnad!$A$6:$F$156,3,FALSE)</f>
        <v>Kontrollkaev De200, torustik ja otsakork</v>
      </c>
      <c r="E314" s="18" t="str">
        <f>VLOOKUP(A314,Uhikhinnad!$A$6:$F$156,4,FALSE)</f>
        <v>kmpl</v>
      </c>
      <c r="F314" s="19">
        <v>0</v>
      </c>
      <c r="G314" s="18">
        <f>VLOOKUP(A314,Uhikhinnad!$A$6:$F$156,5,FALSE)</f>
        <v>900</v>
      </c>
      <c r="H314" s="18">
        <f>VLOOKUP(A314,Uhikhinnad!$A$6:$F$156,6,FALSE)</f>
        <v>0</v>
      </c>
      <c r="I314" s="35">
        <f t="shared" si="11"/>
        <v>0</v>
      </c>
      <c r="J314" s="49"/>
    </row>
    <row r="315" spans="1:10" ht="11.25">
      <c r="A315" s="52"/>
      <c r="B315" s="55"/>
      <c r="C315" s="33"/>
      <c r="D315" s="32"/>
      <c r="E315" s="18"/>
      <c r="F315" s="31"/>
      <c r="G315" s="30"/>
      <c r="H315" s="30"/>
      <c r="I315" s="36"/>
      <c r="J315" s="49"/>
    </row>
    <row r="316" spans="1:12" ht="11.25">
      <c r="A316" s="52"/>
      <c r="B316" s="55"/>
      <c r="C316" s="94" t="s">
        <v>278</v>
      </c>
      <c r="D316" s="32"/>
      <c r="E316" s="18"/>
      <c r="F316" s="31"/>
      <c r="G316" s="30"/>
      <c r="H316" s="30"/>
      <c r="I316" s="95">
        <f>SUM(I317:I336)</f>
        <v>0</v>
      </c>
      <c r="J316" s="49"/>
      <c r="L316" s="51"/>
    </row>
    <row r="317" spans="1:10" ht="11.25">
      <c r="A317" s="52">
        <v>301</v>
      </c>
      <c r="B317" s="55" t="s">
        <v>129</v>
      </c>
      <c r="C317" s="17" t="str">
        <f>VLOOKUP(A317,Uhikhinnad!$A$6:$F$156,2,FALSE)</f>
        <v>isevoolne kan.toru </v>
      </c>
      <c r="D317" s="17">
        <f>VLOOKUP(A317,Uhikhinnad!$A$6:$F$156,3,FALSE)</f>
        <v>0</v>
      </c>
      <c r="E317" s="18" t="str">
        <f>VLOOKUP(A317,Uhikhinnad!$A$6:$F$156,4,FALSE)</f>
        <v>m</v>
      </c>
      <c r="F317" s="19">
        <v>0</v>
      </c>
      <c r="G317" s="18">
        <f>VLOOKUP(A317,Uhikhinnad!$A$6:$F$156,5,FALSE)</f>
        <v>0</v>
      </c>
      <c r="H317" s="18">
        <f>VLOOKUP(A317,Uhikhinnad!$A$6:$F$156,6,FALSE)</f>
        <v>0</v>
      </c>
      <c r="I317" s="35">
        <f>F317*G317+H317</f>
        <v>0</v>
      </c>
      <c r="J317" s="49"/>
    </row>
    <row r="318" spans="1:10" ht="11.25">
      <c r="A318" s="52" t="s">
        <v>152</v>
      </c>
      <c r="B318" s="55" t="s">
        <v>129</v>
      </c>
      <c r="C318" s="17" t="str">
        <f>VLOOKUP(A318,Uhikhinnad!$A$6:$F$156,2,FALSE)</f>
        <v>isevoolne kan.toru </v>
      </c>
      <c r="D318" s="17" t="str">
        <f>VLOOKUP(A318,Uhikhinnad!$A$6:$F$156,3,FALSE)</f>
        <v>De160-De315</v>
      </c>
      <c r="E318" s="18" t="str">
        <f>VLOOKUP(A318,Uhikhinnad!$A$6:$F$156,4,FALSE)</f>
        <v>m</v>
      </c>
      <c r="F318" s="19">
        <v>0</v>
      </c>
      <c r="G318" s="18">
        <f>VLOOKUP(A318,Uhikhinnad!$A$6:$F$156,5,FALSE)</f>
        <v>210</v>
      </c>
      <c r="H318" s="18">
        <f>VLOOKUP(A318,Uhikhinnad!$A$6:$F$156,6,FALSE)</f>
        <v>0</v>
      </c>
      <c r="I318" s="35">
        <f aca="true" t="shared" si="12" ref="I318:I336">F318*G318+H318</f>
        <v>0</v>
      </c>
      <c r="J318" s="49"/>
    </row>
    <row r="319" spans="1:10" ht="11.25">
      <c r="A319" s="52" t="s">
        <v>154</v>
      </c>
      <c r="B319" s="55" t="s">
        <v>129</v>
      </c>
      <c r="C319" s="17" t="str">
        <f>VLOOKUP(A319,Uhikhinnad!$A$6:$F$156,2,FALSE)</f>
        <v>isevoolne kan.toru </v>
      </c>
      <c r="D319" s="17" t="str">
        <f>VLOOKUP(A319,Uhikhinnad!$A$6:$F$156,3,FALSE)</f>
        <v>De400-De630</v>
      </c>
      <c r="E319" s="18" t="str">
        <f>VLOOKUP(A319,Uhikhinnad!$A$6:$F$156,4,FALSE)</f>
        <v>m</v>
      </c>
      <c r="F319" s="19">
        <v>0</v>
      </c>
      <c r="G319" s="18">
        <f>VLOOKUP(A319,Uhikhinnad!$A$6:$F$156,5,FALSE)</f>
        <v>250</v>
      </c>
      <c r="H319" s="18">
        <f>VLOOKUP(A319,Uhikhinnad!$A$6:$F$156,6,FALSE)</f>
        <v>0</v>
      </c>
      <c r="I319" s="35">
        <f t="shared" si="12"/>
        <v>0</v>
      </c>
      <c r="J319" s="49"/>
    </row>
    <row r="320" spans="1:10" ht="11.25">
      <c r="A320" s="52" t="s">
        <v>155</v>
      </c>
      <c r="B320" s="55" t="s">
        <v>129</v>
      </c>
      <c r="C320" s="17" t="str">
        <f>VLOOKUP(A320,Uhikhinnad!$A$6:$F$156,2,FALSE)</f>
        <v>isevoolne kan.toru </v>
      </c>
      <c r="D320" s="17" t="str">
        <f>VLOOKUP(A320,Uhikhinnad!$A$6:$F$156,3,FALSE)</f>
        <v>De630</v>
      </c>
      <c r="E320" s="18" t="str">
        <f>VLOOKUP(A320,Uhikhinnad!$A$6:$F$156,4,FALSE)</f>
        <v>m</v>
      </c>
      <c r="F320" s="19">
        <v>0</v>
      </c>
      <c r="G320" s="18">
        <f>VLOOKUP(A320,Uhikhinnad!$A$6:$F$156,5,FALSE)</f>
        <v>0</v>
      </c>
      <c r="H320" s="18">
        <f>VLOOKUP(A320,Uhikhinnad!$A$6:$F$156,6,FALSE)</f>
        <v>0</v>
      </c>
      <c r="I320" s="35">
        <f t="shared" si="12"/>
        <v>0</v>
      </c>
      <c r="J320" s="49"/>
    </row>
    <row r="321" spans="1:10" ht="11.25">
      <c r="A321" s="52" t="s">
        <v>156</v>
      </c>
      <c r="B321" s="55" t="s">
        <v>129</v>
      </c>
      <c r="C321" s="17" t="str">
        <f>VLOOKUP(A321,Uhikhinnad!$A$6:$F$156,2,FALSE)</f>
        <v>isevoolne kan.toru </v>
      </c>
      <c r="D321" s="17" t="str">
        <f>VLOOKUP(A321,Uhikhinnad!$A$6:$F$156,3,FALSE)</f>
        <v>De800-De1000</v>
      </c>
      <c r="E321" s="18" t="str">
        <f>VLOOKUP(A321,Uhikhinnad!$A$6:$F$156,4,FALSE)</f>
        <v>m</v>
      </c>
      <c r="F321" s="19">
        <v>0</v>
      </c>
      <c r="G321" s="18">
        <f>VLOOKUP(A321,Uhikhinnad!$A$6:$F$156,5,FALSE)</f>
        <v>0</v>
      </c>
      <c r="H321" s="18">
        <f>VLOOKUP(A321,Uhikhinnad!$A$6:$F$156,6,FALSE)</f>
        <v>0</v>
      </c>
      <c r="I321" s="35">
        <f t="shared" si="12"/>
        <v>0</v>
      </c>
      <c r="J321" s="49"/>
    </row>
    <row r="322" spans="1:10" ht="11.25">
      <c r="A322" s="52" t="s">
        <v>243</v>
      </c>
      <c r="B322" s="55" t="s">
        <v>129</v>
      </c>
      <c r="C322" s="17" t="str">
        <f>VLOOKUP(A322,Uhikhinnad!$A$6:$F$156,2,FALSE)</f>
        <v>isevoolne kan.toru kruusateel, pinnaseteel või haljasalal</v>
      </c>
      <c r="D322" s="17" t="str">
        <f>VLOOKUP(A322,Uhikhinnad!$A$6:$F$156,3,FALSE)</f>
        <v>De160-De315</v>
      </c>
      <c r="E322" s="18" t="str">
        <f>VLOOKUP(A322,Uhikhinnad!$A$6:$F$156,4,FALSE)</f>
        <v>m</v>
      </c>
      <c r="F322" s="19">
        <v>0</v>
      </c>
      <c r="G322" s="18">
        <f>VLOOKUP(A322,Uhikhinnad!$A$6:$F$156,5,FALSE)</f>
        <v>200</v>
      </c>
      <c r="H322" s="18">
        <f>VLOOKUP(A322,Uhikhinnad!$A$6:$F$156,6,FALSE)</f>
        <v>0</v>
      </c>
      <c r="I322" s="35">
        <f t="shared" si="12"/>
        <v>0</v>
      </c>
      <c r="J322" s="49"/>
    </row>
    <row r="323" spans="1:10" ht="11.25">
      <c r="A323" s="52" t="s">
        <v>244</v>
      </c>
      <c r="B323" s="55" t="s">
        <v>129</v>
      </c>
      <c r="C323" s="17" t="str">
        <f>VLOOKUP(A323,Uhikhinnad!$A$6:$F$156,2,FALSE)</f>
        <v>isevoolne kan.toru kruusateel, pinnaseteel või haljasalal</v>
      </c>
      <c r="D323" s="17" t="str">
        <f>VLOOKUP(A323,Uhikhinnad!$A$6:$F$156,3,FALSE)</f>
        <v>De400-De630</v>
      </c>
      <c r="E323" s="18" t="str">
        <f>VLOOKUP(A323,Uhikhinnad!$A$6:$F$156,4,FALSE)</f>
        <v>m</v>
      </c>
      <c r="F323" s="19">
        <v>0</v>
      </c>
      <c r="G323" s="18">
        <f>VLOOKUP(A323,Uhikhinnad!$A$6:$F$156,5,FALSE)</f>
        <v>240</v>
      </c>
      <c r="H323" s="18">
        <f>VLOOKUP(A323,Uhikhinnad!$A$6:$F$156,6,FALSE)</f>
        <v>0</v>
      </c>
      <c r="I323" s="35">
        <f t="shared" si="12"/>
        <v>0</v>
      </c>
      <c r="J323" s="49"/>
    </row>
    <row r="324" spans="1:10" ht="11.25">
      <c r="A324" s="52" t="s">
        <v>245</v>
      </c>
      <c r="B324" s="55" t="s">
        <v>129</v>
      </c>
      <c r="C324" s="17" t="str">
        <f>VLOOKUP(A324,Uhikhinnad!$A$6:$F$156,2,FALSE)</f>
        <v>isevoolne kan.toru kruusateel, pinnaseteel või haljasalal</v>
      </c>
      <c r="D324" s="17" t="str">
        <f>VLOOKUP(A324,Uhikhinnad!$A$6:$F$156,3,FALSE)</f>
        <v>De630</v>
      </c>
      <c r="E324" s="18" t="str">
        <f>VLOOKUP(A324,Uhikhinnad!$A$6:$F$156,4,FALSE)</f>
        <v>m</v>
      </c>
      <c r="F324" s="19">
        <v>0</v>
      </c>
      <c r="G324" s="18">
        <f>VLOOKUP(A324,Uhikhinnad!$A$6:$F$156,5,FALSE)</f>
        <v>550</v>
      </c>
      <c r="H324" s="18">
        <f>VLOOKUP(A324,Uhikhinnad!$A$6:$F$156,6,FALSE)</f>
        <v>0</v>
      </c>
      <c r="I324" s="35">
        <f t="shared" si="12"/>
        <v>0</v>
      </c>
      <c r="J324" s="49"/>
    </row>
    <row r="325" spans="1:10" ht="11.25">
      <c r="A325" s="52" t="s">
        <v>246</v>
      </c>
      <c r="B325" s="55" t="s">
        <v>129</v>
      </c>
      <c r="C325" s="17" t="str">
        <f>VLOOKUP(A325,Uhikhinnad!$A$6:$F$156,2,FALSE)</f>
        <v>isevoolne kan.toru kruusateel, pinnaseteel või haljasalal</v>
      </c>
      <c r="D325" s="17" t="str">
        <f>VLOOKUP(A325,Uhikhinnad!$A$6:$F$156,3,FALSE)</f>
        <v>De800-De1000</v>
      </c>
      <c r="E325" s="18" t="str">
        <f>VLOOKUP(A325,Uhikhinnad!$A$6:$F$156,4,FALSE)</f>
        <v>m</v>
      </c>
      <c r="F325" s="19">
        <v>0</v>
      </c>
      <c r="G325" s="18">
        <f>VLOOKUP(A325,Uhikhinnad!$A$6:$F$156,5,FALSE)</f>
        <v>750</v>
      </c>
      <c r="H325" s="18">
        <f>VLOOKUP(A325,Uhikhinnad!$A$6:$F$156,6,FALSE)</f>
        <v>0</v>
      </c>
      <c r="I325" s="35">
        <f t="shared" si="12"/>
        <v>0</v>
      </c>
      <c r="J325" s="49"/>
    </row>
    <row r="326" spans="1:10" ht="11.25">
      <c r="A326" s="52">
        <v>302</v>
      </c>
      <c r="B326" s="55" t="s">
        <v>129</v>
      </c>
      <c r="C326" s="17" t="str">
        <f>VLOOKUP(A326,Uhikhinnad!$A$6:$F$156,2,FALSE)</f>
        <v>survekanalisatsioonitoru</v>
      </c>
      <c r="D326" s="17">
        <f>VLOOKUP(A326,Uhikhinnad!$A$6:$F$156,3,FALSE)</f>
        <v>0</v>
      </c>
      <c r="E326" s="18" t="str">
        <f>VLOOKUP(A326,Uhikhinnad!$A$6:$F$156,4,FALSE)</f>
        <v>m</v>
      </c>
      <c r="F326" s="19">
        <v>0</v>
      </c>
      <c r="G326" s="18">
        <f>VLOOKUP(A326,Uhikhinnad!$A$6:$F$156,5,FALSE)</f>
        <v>0</v>
      </c>
      <c r="H326" s="18">
        <f>VLOOKUP(A326,Uhikhinnad!$A$6:$F$156,6,FALSE)</f>
        <v>0</v>
      </c>
      <c r="I326" s="35">
        <f t="shared" si="12"/>
        <v>0</v>
      </c>
      <c r="J326" s="49"/>
    </row>
    <row r="327" spans="1:10" ht="11.25">
      <c r="A327" s="52" t="s">
        <v>153</v>
      </c>
      <c r="B327" s="55" t="s">
        <v>129</v>
      </c>
      <c r="C327" s="17" t="str">
        <f>VLOOKUP(A327,Uhikhinnad!$A$6:$F$156,2,FALSE)</f>
        <v>survekanalisatsioonitoru</v>
      </c>
      <c r="D327" s="17" t="str">
        <f>VLOOKUP(A327,Uhikhinnad!$A$6:$F$156,3,FALSE)</f>
        <v>De63-De110</v>
      </c>
      <c r="E327" s="18" t="str">
        <f>VLOOKUP(A327,Uhikhinnad!$A$6:$F$156,4,FALSE)</f>
        <v>m</v>
      </c>
      <c r="F327" s="19">
        <v>0</v>
      </c>
      <c r="G327" s="18">
        <f>VLOOKUP(A327,Uhikhinnad!$A$6:$F$156,5,FALSE)</f>
        <v>120</v>
      </c>
      <c r="H327" s="18">
        <f>VLOOKUP(A327,Uhikhinnad!$A$6:$F$156,6,FALSE)</f>
        <v>0</v>
      </c>
      <c r="I327" s="35">
        <f t="shared" si="12"/>
        <v>0</v>
      </c>
      <c r="J327" s="49"/>
    </row>
    <row r="328" spans="1:10" ht="11.25">
      <c r="A328" s="52" t="s">
        <v>157</v>
      </c>
      <c r="B328" s="55" t="s">
        <v>129</v>
      </c>
      <c r="C328" s="17" t="str">
        <f>VLOOKUP(A328,Uhikhinnad!$A$6:$F$156,2,FALSE)</f>
        <v>survekanalisatsioonitoru</v>
      </c>
      <c r="D328" s="17" t="str">
        <f>VLOOKUP(A328,Uhikhinnad!$A$6:$F$156,3,FALSE)</f>
        <v>De160-De315</v>
      </c>
      <c r="E328" s="18" t="str">
        <f>VLOOKUP(A328,Uhikhinnad!$A$6:$F$156,4,FALSE)</f>
        <v>m</v>
      </c>
      <c r="F328" s="19">
        <v>0</v>
      </c>
      <c r="G328" s="18">
        <f>VLOOKUP(A328,Uhikhinnad!$A$6:$F$156,5,FALSE)</f>
        <v>200</v>
      </c>
      <c r="H328" s="18">
        <f>VLOOKUP(A328,Uhikhinnad!$A$6:$F$156,6,FALSE)</f>
        <v>0</v>
      </c>
      <c r="I328" s="35">
        <f t="shared" si="12"/>
        <v>0</v>
      </c>
      <c r="J328" s="49"/>
    </row>
    <row r="329" spans="1:10" ht="11.25">
      <c r="A329" s="52" t="s">
        <v>158</v>
      </c>
      <c r="B329" s="55" t="s">
        <v>129</v>
      </c>
      <c r="C329" s="17" t="str">
        <f>VLOOKUP(A329,Uhikhinnad!$A$6:$F$156,2,FALSE)</f>
        <v>survekanalisatsioonitoru</v>
      </c>
      <c r="D329" s="17" t="str">
        <f>VLOOKUP(A329,Uhikhinnad!$A$6:$F$156,3,FALSE)</f>
        <v>De63-De160</v>
      </c>
      <c r="E329" s="18" t="str">
        <f>VLOOKUP(A329,Uhikhinnad!$A$6:$F$156,4,FALSE)</f>
        <v>m</v>
      </c>
      <c r="F329" s="19">
        <v>0</v>
      </c>
      <c r="G329" s="18">
        <f>VLOOKUP(A329,Uhikhinnad!$A$6:$F$156,5,FALSE)</f>
        <v>120</v>
      </c>
      <c r="H329" s="18">
        <f>VLOOKUP(A329,Uhikhinnad!$A$6:$F$156,6,FALSE)</f>
        <v>0</v>
      </c>
      <c r="I329" s="35">
        <f t="shared" si="12"/>
        <v>0</v>
      </c>
      <c r="J329" s="49"/>
    </row>
    <row r="330" spans="1:10" ht="11.25">
      <c r="A330" s="52" t="s">
        <v>159</v>
      </c>
      <c r="B330" s="55" t="s">
        <v>129</v>
      </c>
      <c r="C330" s="17" t="str">
        <f>VLOOKUP(A330,Uhikhinnad!$A$6:$F$156,2,FALSE)</f>
        <v>survekanalisatsioonitoru</v>
      </c>
      <c r="D330" s="17" t="str">
        <f>VLOOKUP(A330,Uhikhinnad!$A$6:$F$156,3,FALSE)</f>
        <v>De160-De315</v>
      </c>
      <c r="E330" s="18" t="str">
        <f>VLOOKUP(A330,Uhikhinnad!$A$6:$F$156,4,FALSE)</f>
        <v>m</v>
      </c>
      <c r="F330" s="19">
        <v>0</v>
      </c>
      <c r="G330" s="18">
        <f>VLOOKUP(A330,Uhikhinnad!$A$6:$F$156,5,FALSE)</f>
        <v>190</v>
      </c>
      <c r="H330" s="18">
        <f>VLOOKUP(A330,Uhikhinnad!$A$6:$F$156,6,FALSE)</f>
        <v>0</v>
      </c>
      <c r="I330" s="35">
        <f t="shared" si="12"/>
        <v>0</v>
      </c>
      <c r="J330" s="49"/>
    </row>
    <row r="331" spans="1:10" ht="11.25">
      <c r="A331" s="52">
        <v>303</v>
      </c>
      <c r="B331" s="55" t="s">
        <v>129</v>
      </c>
      <c r="C331" s="17" t="str">
        <f>VLOOKUP(A331,Uhikhinnad!$A$6:$F$156,2,FALSE)</f>
        <v>reoveepumpla </v>
      </c>
      <c r="D331" s="17">
        <f>VLOOKUP(A331,Uhikhinnad!$A$6:$F$156,3,FALSE)</f>
        <v>0</v>
      </c>
      <c r="E331" s="18">
        <f>VLOOKUP(A331,Uhikhinnad!$A$6:$F$156,4,FALSE)</f>
        <v>0</v>
      </c>
      <c r="F331" s="19">
        <v>0</v>
      </c>
      <c r="G331" s="18">
        <f>VLOOKUP(A331,Uhikhinnad!$A$6:$F$156,5,FALSE)</f>
        <v>0</v>
      </c>
      <c r="H331" s="18">
        <f>VLOOKUP(A331,Uhikhinnad!$A$6:$F$156,6,FALSE)</f>
        <v>0</v>
      </c>
      <c r="I331" s="35">
        <f t="shared" si="12"/>
        <v>0</v>
      </c>
      <c r="J331" s="49"/>
    </row>
    <row r="332" spans="1:10" ht="11.25">
      <c r="A332" s="52" t="s">
        <v>160</v>
      </c>
      <c r="B332" s="55" t="s">
        <v>129</v>
      </c>
      <c r="C332" s="17" t="str">
        <f>VLOOKUP(A332,Uhikhinnad!$A$6:$F$156,2,FALSE)</f>
        <v>väike reoveepumpla </v>
      </c>
      <c r="D332" s="17" t="str">
        <f>VLOOKUP(A332,Uhikhinnad!$A$6:$F$156,3,FALSE)</f>
        <v>Qarv ≤ 5 l/s</v>
      </c>
      <c r="E332" s="18" t="str">
        <f>VLOOKUP(A332,Uhikhinnad!$A$6:$F$156,4,FALSE)</f>
        <v>kmpl</v>
      </c>
      <c r="F332" s="19">
        <v>0</v>
      </c>
      <c r="G332" s="18">
        <f>VLOOKUP(A332,Uhikhinnad!$A$6:$F$156,5,FALSE)</f>
        <v>35000</v>
      </c>
      <c r="H332" s="18">
        <f>VLOOKUP(A332,Uhikhinnad!$A$6:$F$156,6,FALSE)</f>
        <v>0</v>
      </c>
      <c r="I332" s="35">
        <f t="shared" si="12"/>
        <v>0</v>
      </c>
      <c r="J332" s="49"/>
    </row>
    <row r="333" spans="1:10" ht="11.25">
      <c r="A333" s="52" t="s">
        <v>161</v>
      </c>
      <c r="B333" s="55" t="s">
        <v>129</v>
      </c>
      <c r="C333" s="17" t="str">
        <f>VLOOKUP(A333,Uhikhinnad!$A$6:$F$156,2,FALSE)</f>
        <v>keskmine reoveepumpla </v>
      </c>
      <c r="D333" s="17" t="str">
        <f>VLOOKUP(A333,Uhikhinnad!$A$6:$F$156,3,FALSE)</f>
        <v>Qarv 5 - 20 l/s</v>
      </c>
      <c r="E333" s="18" t="str">
        <f>VLOOKUP(A333,Uhikhinnad!$A$6:$F$156,4,FALSE)</f>
        <v>kmpl</v>
      </c>
      <c r="F333" s="19">
        <v>0</v>
      </c>
      <c r="G333" s="18">
        <f>VLOOKUP(A333,Uhikhinnad!$A$6:$F$156,5,FALSE)</f>
        <v>40000</v>
      </c>
      <c r="H333" s="18">
        <f>VLOOKUP(A333,Uhikhinnad!$A$6:$F$156,6,FALSE)</f>
        <v>0</v>
      </c>
      <c r="I333" s="35">
        <f t="shared" si="12"/>
        <v>0</v>
      </c>
      <c r="J333" s="49"/>
    </row>
    <row r="334" spans="1:10" ht="11.25">
      <c r="A334" s="52" t="s">
        <v>162</v>
      </c>
      <c r="B334" s="55" t="s">
        <v>129</v>
      </c>
      <c r="C334" s="17" t="str">
        <f>VLOOKUP(A334,Uhikhinnad!$A$6:$F$156,2,FALSE)</f>
        <v>suur reoveepumpla </v>
      </c>
      <c r="D334" s="17" t="str">
        <f>VLOOKUP(A334,Uhikhinnad!$A$6:$F$156,3,FALSE)</f>
        <v>Qarv ≥ 20 l/s</v>
      </c>
      <c r="E334" s="18" t="str">
        <f>VLOOKUP(A334,Uhikhinnad!$A$6:$F$156,4,FALSE)</f>
        <v>kmpl</v>
      </c>
      <c r="F334" s="19">
        <v>0</v>
      </c>
      <c r="G334" s="18">
        <f>VLOOKUP(A334,Uhikhinnad!$A$6:$F$156,5,FALSE)</f>
        <v>50000</v>
      </c>
      <c r="H334" s="18">
        <f>VLOOKUP(A334,Uhikhinnad!$A$6:$F$156,6,FALSE)</f>
        <v>0</v>
      </c>
      <c r="I334" s="35">
        <f t="shared" si="12"/>
        <v>0</v>
      </c>
      <c r="J334" s="49"/>
    </row>
    <row r="335" spans="1:10" ht="11.25">
      <c r="A335" s="52" t="s">
        <v>165</v>
      </c>
      <c r="B335" s="55" t="s">
        <v>129</v>
      </c>
      <c r="C335" s="17" t="str">
        <f>VLOOKUP(A335,Uhikhinnad!$A$6:$F$156,2,FALSE)</f>
        <v>erilahendusega reoveepumpla</v>
      </c>
      <c r="D335" s="17">
        <f>VLOOKUP(A335,Uhikhinnad!$A$6:$F$156,3,FALSE)</f>
        <v>0</v>
      </c>
      <c r="E335" s="18" t="str">
        <f>VLOOKUP(A335,Uhikhinnad!$A$6:$F$156,4,FALSE)</f>
        <v>kmpl</v>
      </c>
      <c r="F335" s="19">
        <v>0</v>
      </c>
      <c r="G335" s="18">
        <f>VLOOKUP(A335,Uhikhinnad!$A$6:$F$156,5,FALSE)</f>
        <v>0</v>
      </c>
      <c r="H335" s="18">
        <f>VLOOKUP(A335,Uhikhinnad!$A$6:$F$156,6,FALSE)</f>
        <v>0</v>
      </c>
      <c r="I335" s="35">
        <f t="shared" si="12"/>
        <v>0</v>
      </c>
      <c r="J335" s="49"/>
    </row>
    <row r="336" spans="1:10" ht="11.25">
      <c r="A336" s="52">
        <v>304</v>
      </c>
      <c r="B336" s="55" t="s">
        <v>129</v>
      </c>
      <c r="C336" s="17" t="str">
        <f>VLOOKUP(A336,Uhikhinnad!$A$6:$F$156,2,FALSE)</f>
        <v>majaühendus</v>
      </c>
      <c r="D336" s="17" t="str">
        <f>VLOOKUP(A336,Uhikhinnad!$A$6:$F$156,3,FALSE)</f>
        <v>Kontrollkaev De200, torustik ja otsakork</v>
      </c>
      <c r="E336" s="18" t="str">
        <f>VLOOKUP(A336,Uhikhinnad!$A$6:$F$156,4,FALSE)</f>
        <v>kmpl</v>
      </c>
      <c r="F336" s="19">
        <v>0</v>
      </c>
      <c r="G336" s="18">
        <f>VLOOKUP(A336,Uhikhinnad!$A$6:$F$156,5,FALSE)</f>
        <v>900</v>
      </c>
      <c r="H336" s="18">
        <f>VLOOKUP(A336,Uhikhinnad!$A$6:$F$156,6,FALSE)</f>
        <v>0</v>
      </c>
      <c r="I336" s="35">
        <f t="shared" si="12"/>
        <v>0</v>
      </c>
      <c r="J336" s="49"/>
    </row>
    <row r="337" spans="1:10" ht="11.25">
      <c r="A337" s="52"/>
      <c r="B337" s="55"/>
      <c r="C337" s="17"/>
      <c r="D337" s="22"/>
      <c r="E337" s="18"/>
      <c r="F337" s="19"/>
      <c r="G337" s="18"/>
      <c r="H337" s="18"/>
      <c r="I337" s="35"/>
      <c r="J337" s="49"/>
    </row>
    <row r="338" spans="1:10" ht="11.25">
      <c r="A338" s="28"/>
      <c r="B338" s="29"/>
      <c r="C338" s="50" t="s">
        <v>75</v>
      </c>
      <c r="D338" s="14"/>
      <c r="E338" s="15"/>
      <c r="F338" s="16"/>
      <c r="G338" s="15"/>
      <c r="H338" s="15"/>
      <c r="I338" s="40"/>
      <c r="J338" s="49"/>
    </row>
    <row r="339" spans="1:10" ht="11.25">
      <c r="A339" s="52"/>
      <c r="B339" s="55"/>
      <c r="C339" s="12" t="s">
        <v>287</v>
      </c>
      <c r="D339" s="30"/>
      <c r="E339" s="18"/>
      <c r="F339" s="31"/>
      <c r="G339" s="30"/>
      <c r="H339" s="30"/>
      <c r="I339" s="36"/>
      <c r="J339" s="49"/>
    </row>
    <row r="340" spans="1:10" ht="11.25">
      <c r="A340" s="52"/>
      <c r="B340" s="55"/>
      <c r="C340" s="94" t="s">
        <v>93</v>
      </c>
      <c r="D340" s="32"/>
      <c r="E340" s="18"/>
      <c r="F340" s="31"/>
      <c r="G340" s="30"/>
      <c r="H340" s="30"/>
      <c r="I340" s="95">
        <f>SUM(I341:I351)</f>
        <v>0</v>
      </c>
      <c r="J340" s="49"/>
    </row>
    <row r="341" spans="1:13" ht="12.75">
      <c r="A341" s="52">
        <v>401</v>
      </c>
      <c r="B341" s="55" t="s">
        <v>130</v>
      </c>
      <c r="C341" s="17" t="str">
        <f>VLOOKUP(A341,Uhikhinnad!$A$6:$F$156,2,FALSE)</f>
        <v>reoveepuhasti</v>
      </c>
      <c r="D341" s="17">
        <f>VLOOKUP(A341,Uhikhinnad!$A$6:$F$156,3,FALSE)</f>
        <v>0</v>
      </c>
      <c r="E341" s="18">
        <f>VLOOKUP(A341,Uhikhinnad!$A$6:$F$156,4,FALSE)</f>
        <v>0</v>
      </c>
      <c r="F341" s="19">
        <v>0</v>
      </c>
      <c r="G341" s="18">
        <f>VLOOKUP(A341,Uhikhinnad!$A$6:$F$156,5,FALSE)</f>
        <v>0</v>
      </c>
      <c r="H341" s="18">
        <f>VLOOKUP(A341,Uhikhinnad!$A$6:$F$156,6,FALSE)</f>
        <v>0</v>
      </c>
      <c r="I341" s="35">
        <f aca="true" t="shared" si="13" ref="I341:I351">F341*G341+H341</f>
        <v>0</v>
      </c>
      <c r="J341" s="49"/>
      <c r="M341" s="6"/>
    </row>
    <row r="342" spans="1:13" ht="12.75">
      <c r="A342" s="52" t="s">
        <v>236</v>
      </c>
      <c r="B342" s="55" t="s">
        <v>130</v>
      </c>
      <c r="C342" s="17" t="str">
        <f>VLOOKUP(A342,Uhikhinnad!$A$6:$F$156,2,FALSE)</f>
        <v>reoveepuhasti Q&lt;10 m3/d (Tüüp 1)</v>
      </c>
      <c r="D342" s="17">
        <f>VLOOKUP(A342,Uhikhinnad!$A$6:$F$156,3,FALSE)</f>
        <v>0</v>
      </c>
      <c r="E342" s="18" t="str">
        <f>VLOOKUP(A342,Uhikhinnad!$A$6:$F$156,4,FALSE)</f>
        <v>tk</v>
      </c>
      <c r="F342" s="19">
        <v>0</v>
      </c>
      <c r="G342" s="18">
        <f>VLOOKUP(A342,Uhikhinnad!$A$6:$F$156,5,FALSE)</f>
        <v>128000</v>
      </c>
      <c r="H342" s="18">
        <f>VLOOKUP(A342,Uhikhinnad!$A$6:$F$156,6,FALSE)</f>
        <v>0</v>
      </c>
      <c r="I342" s="35">
        <f t="shared" si="13"/>
        <v>0</v>
      </c>
      <c r="J342" s="49"/>
      <c r="M342" s="3"/>
    </row>
    <row r="343" spans="1:13" ht="12.75">
      <c r="A343" s="52" t="s">
        <v>237</v>
      </c>
      <c r="B343" s="55" t="s">
        <v>130</v>
      </c>
      <c r="C343" s="17" t="str">
        <f>VLOOKUP(A343,Uhikhinnad!$A$6:$F$156,2,FALSE)</f>
        <v>reoveepuhasti Q = 10-100 m3/d (Tüüp 2)</v>
      </c>
      <c r="D343" s="17">
        <f>VLOOKUP(A343,Uhikhinnad!$A$6:$F$156,3,FALSE)</f>
        <v>0</v>
      </c>
      <c r="E343" s="18" t="str">
        <f>VLOOKUP(A343,Uhikhinnad!$A$6:$F$156,4,FALSE)</f>
        <v>ie</v>
      </c>
      <c r="F343" s="19">
        <v>0</v>
      </c>
      <c r="G343" s="18">
        <f>VLOOKUP(A343,Uhikhinnad!$A$6:$F$156,5,FALSE)</f>
        <v>705</v>
      </c>
      <c r="H343" s="18">
        <f>VLOOKUP(A343,Uhikhinnad!$A$6:$F$156,6,FALSE)</f>
        <v>0</v>
      </c>
      <c r="I343" s="35">
        <f t="shared" si="13"/>
        <v>0</v>
      </c>
      <c r="J343" s="49"/>
      <c r="M343" s="5"/>
    </row>
    <row r="344" spans="1:13" ht="12.75">
      <c r="A344" s="52" t="s">
        <v>238</v>
      </c>
      <c r="B344" s="55" t="s">
        <v>130</v>
      </c>
      <c r="C344" s="17" t="str">
        <f>VLOOKUP(A344,Uhikhinnad!$A$6:$F$156,2,FALSE)</f>
        <v>reoveepuhasti Q&gt;100 m3/d (Tüüp 3)</v>
      </c>
      <c r="D344" s="17">
        <f>VLOOKUP(A344,Uhikhinnad!$A$6:$F$156,3,FALSE)</f>
        <v>0</v>
      </c>
      <c r="E344" s="18" t="str">
        <f>VLOOKUP(A344,Uhikhinnad!$A$6:$F$156,4,FALSE)</f>
        <v>ie</v>
      </c>
      <c r="F344" s="19">
        <v>0</v>
      </c>
      <c r="G344" s="18">
        <f>VLOOKUP(A344,Uhikhinnad!$A$6:$F$156,5,FALSE)</f>
        <v>640</v>
      </c>
      <c r="H344" s="18">
        <f>VLOOKUP(A344,Uhikhinnad!$A$6:$F$156,6,FALSE)</f>
        <v>0</v>
      </c>
      <c r="I344" s="35">
        <f t="shared" si="13"/>
        <v>0</v>
      </c>
      <c r="J344" s="49"/>
      <c r="M344" s="5"/>
    </row>
    <row r="345" spans="1:13" ht="12.75">
      <c r="A345" s="52">
        <v>402</v>
      </c>
      <c r="B345" s="55" t="s">
        <v>130</v>
      </c>
      <c r="C345" s="17" t="str">
        <f>VLOOKUP(A345,Uhikhinnad!$A$6:$F$156,2,FALSE)</f>
        <v>purgla mahuga 10m3</v>
      </c>
      <c r="D345" s="17">
        <f>VLOOKUP(A345,Uhikhinnad!$A$6:$F$156,3,FALSE)</f>
        <v>0</v>
      </c>
      <c r="E345" s="18" t="str">
        <f>VLOOKUP(A345,Uhikhinnad!$A$6:$F$156,4,FALSE)</f>
        <v>kmpl</v>
      </c>
      <c r="F345" s="19">
        <v>0</v>
      </c>
      <c r="G345" s="18">
        <f>VLOOKUP(A345,Uhikhinnad!$A$6:$F$156,5,FALSE)</f>
        <v>51000</v>
      </c>
      <c r="H345" s="18">
        <f>VLOOKUP(A345,Uhikhinnad!$A$6:$F$156,6,FALSE)</f>
        <v>0</v>
      </c>
      <c r="I345" s="35">
        <f t="shared" si="13"/>
        <v>0</v>
      </c>
      <c r="J345" s="49"/>
      <c r="M345" s="3"/>
    </row>
    <row r="346" spans="1:13" ht="12.75">
      <c r="A346" s="52">
        <v>403</v>
      </c>
      <c r="B346" s="55" t="s">
        <v>130</v>
      </c>
      <c r="C346" s="17" t="str">
        <f>VLOOKUP(A346,Uhikhinnad!$A$6:$F$156,2,FALSE)</f>
        <v>muud reoveepuhasti seadmed/tööd</v>
      </c>
      <c r="D346" s="17" t="str">
        <f>VLOOKUP(A346,Uhikhinnad!$A$6:$F$156,3,FALSE)</f>
        <v>Kohila RVP laiendamine</v>
      </c>
      <c r="E346" s="18" t="str">
        <f>VLOOKUP(A346,Uhikhinnad!$A$6:$F$156,4,FALSE)</f>
        <v>tk</v>
      </c>
      <c r="F346" s="19">
        <v>0</v>
      </c>
      <c r="G346" s="18">
        <f>VLOOKUP(A346,Uhikhinnad!$A$6:$F$156,5,FALSE)</f>
        <v>1470600</v>
      </c>
      <c r="H346" s="18">
        <f>VLOOKUP(A346,Uhikhinnad!$A$6:$F$156,6,FALSE)</f>
        <v>0</v>
      </c>
      <c r="I346" s="35">
        <f t="shared" si="13"/>
        <v>0</v>
      </c>
      <c r="J346" s="49"/>
      <c r="M346" s="5"/>
    </row>
    <row r="347" spans="1:13" ht="12.75">
      <c r="A347" s="52">
        <v>404</v>
      </c>
      <c r="B347" s="55" t="s">
        <v>130</v>
      </c>
      <c r="C347" s="17" t="str">
        <f>VLOOKUP(A347,Uhikhinnad!$A$6:$F$156,2,FALSE)</f>
        <v>biotiigi rekonstrueerimine</v>
      </c>
      <c r="D347" s="17">
        <f>VLOOKUP(A347,Uhikhinnad!$A$6:$F$156,3,FALSE)</f>
        <v>0</v>
      </c>
      <c r="E347" s="18" t="str">
        <f>VLOOKUP(A347,Uhikhinnad!$A$6:$F$156,4,FALSE)</f>
        <v>m2</v>
      </c>
      <c r="F347" s="19">
        <v>0</v>
      </c>
      <c r="G347" s="18">
        <f>VLOOKUP(A347,Uhikhinnad!$A$6:$F$156,5,FALSE)</f>
        <v>15</v>
      </c>
      <c r="H347" s="18">
        <f>VLOOKUP(A347,Uhikhinnad!$A$6:$F$156,6,FALSE)</f>
        <v>0</v>
      </c>
      <c r="I347" s="35">
        <f t="shared" si="13"/>
        <v>0</v>
      </c>
      <c r="J347" s="49"/>
      <c r="M347" s="5"/>
    </row>
    <row r="348" spans="1:13" ht="12.75">
      <c r="A348" s="52">
        <v>405</v>
      </c>
      <c r="B348" s="55" t="s">
        <v>130</v>
      </c>
      <c r="C348" s="17" t="str">
        <f>VLOOKUP(A348,Uhikhinnad!$A$6:$F$156,2,FALSE)</f>
        <v>biotiigi rajamine</v>
      </c>
      <c r="D348" s="17">
        <f>VLOOKUP(A348,Uhikhinnad!$A$6:$F$156,3,FALSE)</f>
        <v>0</v>
      </c>
      <c r="E348" s="18">
        <f>VLOOKUP(A348,Uhikhinnad!$A$6:$F$156,4,FALSE)</f>
        <v>0</v>
      </c>
      <c r="F348" s="19">
        <v>0</v>
      </c>
      <c r="G348" s="18">
        <f>VLOOKUP(A348,Uhikhinnad!$A$6:$F$156,5,FALSE)</f>
        <v>0</v>
      </c>
      <c r="H348" s="18">
        <f>VLOOKUP(A348,Uhikhinnad!$A$6:$F$156,6,FALSE)</f>
        <v>0</v>
      </c>
      <c r="I348" s="35">
        <f t="shared" si="13"/>
        <v>0</v>
      </c>
      <c r="J348" s="49"/>
      <c r="M348" s="6"/>
    </row>
    <row r="349" spans="1:13" ht="12.75">
      <c r="A349" s="52">
        <v>406</v>
      </c>
      <c r="B349" s="55" t="s">
        <v>130</v>
      </c>
      <c r="C349" s="17" t="str">
        <f>VLOOKUP(A349,Uhikhinnad!$A$6:$F$156,2,FALSE)</f>
        <v>septik</v>
      </c>
      <c r="D349" s="17">
        <f>VLOOKUP(A349,Uhikhinnad!$A$6:$F$156,3,FALSE)</f>
        <v>0</v>
      </c>
      <c r="E349" s="18" t="str">
        <f>VLOOKUP(A349,Uhikhinnad!$A$6:$F$156,4,FALSE)</f>
        <v>tk</v>
      </c>
      <c r="F349" s="19">
        <v>0</v>
      </c>
      <c r="G349" s="18">
        <f>VLOOKUP(A349,Uhikhinnad!$A$6:$F$156,5,FALSE)</f>
        <v>2600</v>
      </c>
      <c r="H349" s="18">
        <f>VLOOKUP(A349,Uhikhinnad!$A$6:$F$156,6,FALSE)</f>
        <v>0</v>
      </c>
      <c r="I349" s="35">
        <f t="shared" si="13"/>
        <v>0</v>
      </c>
      <c r="J349" s="49"/>
      <c r="M349" s="3"/>
    </row>
    <row r="350" spans="1:13" ht="12.75">
      <c r="A350" s="52">
        <v>407</v>
      </c>
      <c r="B350" s="55" t="s">
        <v>130</v>
      </c>
      <c r="C350" s="17" t="str">
        <f>VLOOKUP(A350,Uhikhinnad!$A$6:$F$156,2,FALSE)</f>
        <v>kaugjälgimise ja -juhtimise süsteem</v>
      </c>
      <c r="D350" s="17">
        <f>VLOOKUP(A350,Uhikhinnad!$A$6:$F$156,3,FALSE)</f>
        <v>0</v>
      </c>
      <c r="E350" s="18" t="str">
        <f>VLOOKUP(A350,Uhikhinnad!$A$6:$F$156,4,FALSE)</f>
        <v>kmpl</v>
      </c>
      <c r="F350" s="19">
        <v>0</v>
      </c>
      <c r="G350" s="18">
        <f>VLOOKUP(A350,Uhikhinnad!$A$6:$F$156,5,FALSE)</f>
        <v>6000</v>
      </c>
      <c r="H350" s="18">
        <f>VLOOKUP(A350,Uhikhinnad!$A$6:$F$156,6,FALSE)</f>
        <v>0</v>
      </c>
      <c r="I350" s="35">
        <f t="shared" si="13"/>
        <v>0</v>
      </c>
      <c r="J350" s="49"/>
      <c r="M350" s="5"/>
    </row>
    <row r="351" spans="1:13" ht="12.75">
      <c r="A351" s="52">
        <v>408</v>
      </c>
      <c r="B351" s="55" t="s">
        <v>130</v>
      </c>
      <c r="C351" s="17" t="str">
        <f>VLOOKUP(A351,Uhikhinnad!$A$6:$F$156,2,FALSE)</f>
        <v>rasvapüüdur </v>
      </c>
      <c r="D351" s="17" t="str">
        <f>VLOOKUP(A351,Uhikhinnad!$A$6:$F$156,3,FALSE)</f>
        <v>10L/s, alarm, ühendused</v>
      </c>
      <c r="E351" s="18" t="str">
        <f>VLOOKUP(A351,Uhikhinnad!$A$6:$F$156,4,FALSE)</f>
        <v>kmpl</v>
      </c>
      <c r="F351" s="19">
        <v>0</v>
      </c>
      <c r="G351" s="18">
        <f>VLOOKUP(A351,Uhikhinnad!$A$6:$F$156,5,FALSE)</f>
        <v>5000</v>
      </c>
      <c r="H351" s="18">
        <f>VLOOKUP(A351,Uhikhinnad!$A$6:$F$156,6,FALSE)</f>
        <v>0</v>
      </c>
      <c r="I351" s="35">
        <f t="shared" si="13"/>
        <v>0</v>
      </c>
      <c r="J351" s="49"/>
      <c r="M351" s="5"/>
    </row>
    <row r="352" spans="1:10" ht="11.25">
      <c r="A352" s="52"/>
      <c r="B352" s="55"/>
      <c r="C352" s="33"/>
      <c r="D352" s="32"/>
      <c r="E352" s="18"/>
      <c r="F352" s="31"/>
      <c r="G352" s="30"/>
      <c r="H352" s="30"/>
      <c r="I352" s="36"/>
      <c r="J352" s="49"/>
    </row>
    <row r="353" spans="1:12" ht="11.25">
      <c r="A353" s="52"/>
      <c r="B353" s="55"/>
      <c r="C353" s="94" t="s">
        <v>94</v>
      </c>
      <c r="D353" s="32"/>
      <c r="E353" s="18"/>
      <c r="F353" s="31"/>
      <c r="G353" s="30"/>
      <c r="H353" s="30"/>
      <c r="I353" s="95">
        <f>SUM(I354:I364)</f>
        <v>0</v>
      </c>
      <c r="J353" s="49"/>
      <c r="L353" s="51"/>
    </row>
    <row r="354" spans="1:10" ht="11.25">
      <c r="A354" s="52">
        <v>401</v>
      </c>
      <c r="B354" s="55" t="s">
        <v>129</v>
      </c>
      <c r="C354" s="17" t="str">
        <f>VLOOKUP(A354,Uhikhinnad!$A$6:$F$156,2,FALSE)</f>
        <v>reoveepuhasti</v>
      </c>
      <c r="D354" s="17">
        <f>VLOOKUP(A354,Uhikhinnad!$A$6:$F$156,3,FALSE)</f>
        <v>0</v>
      </c>
      <c r="E354" s="18">
        <f>VLOOKUP(A354,Uhikhinnad!$A$6:$F$156,4,FALSE)</f>
        <v>0</v>
      </c>
      <c r="F354" s="19">
        <v>0</v>
      </c>
      <c r="G354" s="18">
        <f>VLOOKUP(A354,Uhikhinnad!$A$6:$F$156,5,FALSE)</f>
        <v>0</v>
      </c>
      <c r="H354" s="18">
        <f>VLOOKUP(A354,Uhikhinnad!$A$6:$F$156,6,FALSE)</f>
        <v>0</v>
      </c>
      <c r="I354" s="35">
        <f aca="true" t="shared" si="14" ref="I354:I364">F354*G354+H354</f>
        <v>0</v>
      </c>
      <c r="J354" s="49"/>
    </row>
    <row r="355" spans="1:10" ht="11.25">
      <c r="A355" s="52" t="s">
        <v>236</v>
      </c>
      <c r="B355" s="55" t="s">
        <v>129</v>
      </c>
      <c r="C355" s="17" t="str">
        <f>VLOOKUP(A355,Uhikhinnad!$A$6:$F$156,2,FALSE)</f>
        <v>reoveepuhasti Q&lt;10 m3/d (Tüüp 1)</v>
      </c>
      <c r="D355" s="17">
        <f>VLOOKUP(A355,Uhikhinnad!$A$6:$F$156,3,FALSE)</f>
        <v>0</v>
      </c>
      <c r="E355" s="18" t="str">
        <f>VLOOKUP(A355,Uhikhinnad!$A$6:$F$156,4,FALSE)</f>
        <v>tk</v>
      </c>
      <c r="F355" s="19">
        <v>0</v>
      </c>
      <c r="G355" s="18">
        <f>VLOOKUP(A355,Uhikhinnad!$A$6:$F$156,5,FALSE)</f>
        <v>128000</v>
      </c>
      <c r="H355" s="18">
        <f>VLOOKUP(A355,Uhikhinnad!$A$6:$F$156,6,FALSE)</f>
        <v>0</v>
      </c>
      <c r="I355" s="35">
        <f t="shared" si="14"/>
        <v>0</v>
      </c>
      <c r="J355" s="49"/>
    </row>
    <row r="356" spans="1:10" ht="11.25">
      <c r="A356" s="52" t="s">
        <v>237</v>
      </c>
      <c r="B356" s="55" t="s">
        <v>129</v>
      </c>
      <c r="C356" s="17" t="str">
        <f>VLOOKUP(A356,Uhikhinnad!$A$6:$F$156,2,FALSE)</f>
        <v>reoveepuhasti Q = 10-100 m3/d (Tüüp 2)</v>
      </c>
      <c r="D356" s="17">
        <f>VLOOKUP(A356,Uhikhinnad!$A$6:$F$156,3,FALSE)</f>
        <v>0</v>
      </c>
      <c r="E356" s="18" t="str">
        <f>VLOOKUP(A356,Uhikhinnad!$A$6:$F$156,4,FALSE)</f>
        <v>ie</v>
      </c>
      <c r="F356" s="19">
        <v>0</v>
      </c>
      <c r="G356" s="18">
        <f>VLOOKUP(A356,Uhikhinnad!$A$6:$F$156,5,FALSE)</f>
        <v>705</v>
      </c>
      <c r="H356" s="18">
        <f>VLOOKUP(A356,Uhikhinnad!$A$6:$F$156,6,FALSE)</f>
        <v>0</v>
      </c>
      <c r="I356" s="35">
        <f t="shared" si="14"/>
        <v>0</v>
      </c>
      <c r="J356" s="49"/>
    </row>
    <row r="357" spans="1:10" ht="11.25">
      <c r="A357" s="52" t="s">
        <v>238</v>
      </c>
      <c r="B357" s="55" t="s">
        <v>129</v>
      </c>
      <c r="C357" s="17" t="str">
        <f>VLOOKUP(A357,Uhikhinnad!$A$6:$F$156,2,FALSE)</f>
        <v>reoveepuhasti Q&gt;100 m3/d (Tüüp 3)</v>
      </c>
      <c r="D357" s="17">
        <f>VLOOKUP(A357,Uhikhinnad!$A$6:$F$156,3,FALSE)</f>
        <v>0</v>
      </c>
      <c r="E357" s="18" t="str">
        <f>VLOOKUP(A357,Uhikhinnad!$A$6:$F$156,4,FALSE)</f>
        <v>ie</v>
      </c>
      <c r="F357" s="19">
        <v>0</v>
      </c>
      <c r="G357" s="18">
        <f>VLOOKUP(A357,Uhikhinnad!$A$6:$F$156,5,FALSE)</f>
        <v>640</v>
      </c>
      <c r="H357" s="18">
        <f>VLOOKUP(A357,Uhikhinnad!$A$6:$F$156,6,FALSE)</f>
        <v>0</v>
      </c>
      <c r="I357" s="35">
        <f t="shared" si="14"/>
        <v>0</v>
      </c>
      <c r="J357" s="49"/>
    </row>
    <row r="358" spans="1:10" ht="11.25">
      <c r="A358" s="52">
        <v>402</v>
      </c>
      <c r="B358" s="55" t="s">
        <v>129</v>
      </c>
      <c r="C358" s="17" t="str">
        <f>VLOOKUP(A358,Uhikhinnad!$A$6:$F$156,2,FALSE)</f>
        <v>purgla mahuga 10m3</v>
      </c>
      <c r="D358" s="17">
        <f>VLOOKUP(A358,Uhikhinnad!$A$6:$F$156,3,FALSE)</f>
        <v>0</v>
      </c>
      <c r="E358" s="18" t="str">
        <f>VLOOKUP(A358,Uhikhinnad!$A$6:$F$156,4,FALSE)</f>
        <v>kmpl</v>
      </c>
      <c r="F358" s="19">
        <v>0</v>
      </c>
      <c r="G358" s="18">
        <f>VLOOKUP(A358,Uhikhinnad!$A$6:$F$156,5,FALSE)</f>
        <v>51000</v>
      </c>
      <c r="H358" s="18">
        <f>VLOOKUP(A358,Uhikhinnad!$A$6:$F$156,6,FALSE)</f>
        <v>0</v>
      </c>
      <c r="I358" s="35">
        <f t="shared" si="14"/>
        <v>0</v>
      </c>
      <c r="J358" s="49"/>
    </row>
    <row r="359" spans="1:10" ht="11.25">
      <c r="A359" s="52">
        <v>403</v>
      </c>
      <c r="B359" s="55" t="s">
        <v>129</v>
      </c>
      <c r="C359" s="17" t="str">
        <f>VLOOKUP(A359,Uhikhinnad!$A$6:$F$156,2,FALSE)</f>
        <v>muud reoveepuhasti seadmed/tööd</v>
      </c>
      <c r="D359" s="17" t="str">
        <f>VLOOKUP(A359,Uhikhinnad!$A$6:$F$156,3,FALSE)</f>
        <v>Kohila RVP laiendamine</v>
      </c>
      <c r="E359" s="18" t="str">
        <f>VLOOKUP(A359,Uhikhinnad!$A$6:$F$156,4,FALSE)</f>
        <v>tk</v>
      </c>
      <c r="F359" s="19">
        <v>0</v>
      </c>
      <c r="G359" s="18">
        <f>VLOOKUP(A359,Uhikhinnad!$A$6:$F$156,5,FALSE)</f>
        <v>1470600</v>
      </c>
      <c r="H359" s="18">
        <f>VLOOKUP(A359,Uhikhinnad!$A$6:$F$156,6,FALSE)</f>
        <v>0</v>
      </c>
      <c r="I359" s="35">
        <f t="shared" si="14"/>
        <v>0</v>
      </c>
      <c r="J359" s="49"/>
    </row>
    <row r="360" spans="1:10" ht="11.25">
      <c r="A360" s="52">
        <v>404</v>
      </c>
      <c r="B360" s="55" t="s">
        <v>129</v>
      </c>
      <c r="C360" s="17" t="str">
        <f>VLOOKUP(A360,Uhikhinnad!$A$6:$F$156,2,FALSE)</f>
        <v>biotiigi rekonstrueerimine</v>
      </c>
      <c r="D360" s="17">
        <f>VLOOKUP(A360,Uhikhinnad!$A$6:$F$156,3,FALSE)</f>
        <v>0</v>
      </c>
      <c r="E360" s="18" t="str">
        <f>VLOOKUP(A360,Uhikhinnad!$A$6:$F$156,4,FALSE)</f>
        <v>m2</v>
      </c>
      <c r="F360" s="19">
        <v>0</v>
      </c>
      <c r="G360" s="18">
        <f>VLOOKUP(A360,Uhikhinnad!$A$6:$F$156,5,FALSE)</f>
        <v>15</v>
      </c>
      <c r="H360" s="18">
        <f>VLOOKUP(A360,Uhikhinnad!$A$6:$F$156,6,FALSE)</f>
        <v>0</v>
      </c>
      <c r="I360" s="35">
        <f t="shared" si="14"/>
        <v>0</v>
      </c>
      <c r="J360" s="49"/>
    </row>
    <row r="361" spans="1:10" ht="11.25">
      <c r="A361" s="52">
        <v>405</v>
      </c>
      <c r="B361" s="55" t="s">
        <v>129</v>
      </c>
      <c r="C361" s="17" t="str">
        <f>VLOOKUP(A361,Uhikhinnad!$A$6:$F$156,2,FALSE)</f>
        <v>biotiigi rajamine</v>
      </c>
      <c r="D361" s="17">
        <f>VLOOKUP(A361,Uhikhinnad!$A$6:$F$156,3,FALSE)</f>
        <v>0</v>
      </c>
      <c r="E361" s="18">
        <f>VLOOKUP(A361,Uhikhinnad!$A$6:$F$156,4,FALSE)</f>
        <v>0</v>
      </c>
      <c r="F361" s="19">
        <v>0</v>
      </c>
      <c r="G361" s="18">
        <f>VLOOKUP(A361,Uhikhinnad!$A$6:$F$156,5,FALSE)</f>
        <v>0</v>
      </c>
      <c r="H361" s="18">
        <f>VLOOKUP(A361,Uhikhinnad!$A$6:$F$156,6,FALSE)</f>
        <v>0</v>
      </c>
      <c r="I361" s="35">
        <f t="shared" si="14"/>
        <v>0</v>
      </c>
      <c r="J361" s="49"/>
    </row>
    <row r="362" spans="1:10" ht="11.25">
      <c r="A362" s="52">
        <v>406</v>
      </c>
      <c r="B362" s="55" t="s">
        <v>129</v>
      </c>
      <c r="C362" s="17" t="str">
        <f>VLOOKUP(A362,Uhikhinnad!$A$6:$F$156,2,FALSE)</f>
        <v>septik</v>
      </c>
      <c r="D362" s="17">
        <f>VLOOKUP(A362,Uhikhinnad!$A$6:$F$156,3,FALSE)</f>
        <v>0</v>
      </c>
      <c r="E362" s="18" t="str">
        <f>VLOOKUP(A362,Uhikhinnad!$A$6:$F$156,4,FALSE)</f>
        <v>tk</v>
      </c>
      <c r="F362" s="19">
        <v>0</v>
      </c>
      <c r="G362" s="18">
        <f>VLOOKUP(A362,Uhikhinnad!$A$6:$F$156,5,FALSE)</f>
        <v>2600</v>
      </c>
      <c r="H362" s="18">
        <f>VLOOKUP(A362,Uhikhinnad!$A$6:$F$156,6,FALSE)</f>
        <v>0</v>
      </c>
      <c r="I362" s="35">
        <f t="shared" si="14"/>
        <v>0</v>
      </c>
      <c r="J362" s="49"/>
    </row>
    <row r="363" spans="1:10" ht="11.25">
      <c r="A363" s="52">
        <v>407</v>
      </c>
      <c r="B363" s="55" t="s">
        <v>129</v>
      </c>
      <c r="C363" s="17" t="str">
        <f>VLOOKUP(A363,Uhikhinnad!$A$6:$F$156,2,FALSE)</f>
        <v>kaugjälgimise ja -juhtimise süsteem</v>
      </c>
      <c r="D363" s="17">
        <f>VLOOKUP(A363,Uhikhinnad!$A$6:$F$156,3,FALSE)</f>
        <v>0</v>
      </c>
      <c r="E363" s="18" t="str">
        <f>VLOOKUP(A363,Uhikhinnad!$A$6:$F$156,4,FALSE)</f>
        <v>kmpl</v>
      </c>
      <c r="F363" s="19">
        <v>0</v>
      </c>
      <c r="G363" s="18">
        <f>VLOOKUP(A363,Uhikhinnad!$A$6:$F$156,5,FALSE)</f>
        <v>6000</v>
      </c>
      <c r="H363" s="18">
        <f>VLOOKUP(A363,Uhikhinnad!$A$6:$F$156,6,FALSE)</f>
        <v>0</v>
      </c>
      <c r="I363" s="35">
        <f t="shared" si="14"/>
        <v>0</v>
      </c>
      <c r="J363" s="49"/>
    </row>
    <row r="364" spans="1:10" ht="11.25">
      <c r="A364" s="52">
        <v>408</v>
      </c>
      <c r="B364" s="55" t="s">
        <v>129</v>
      </c>
      <c r="C364" s="17" t="str">
        <f>VLOOKUP(A364,Uhikhinnad!$A$6:$F$156,2,FALSE)</f>
        <v>rasvapüüdur </v>
      </c>
      <c r="D364" s="17" t="str">
        <f>VLOOKUP(A364,Uhikhinnad!$A$6:$F$156,3,FALSE)</f>
        <v>10L/s, alarm, ühendused</v>
      </c>
      <c r="E364" s="18" t="str">
        <f>VLOOKUP(A364,Uhikhinnad!$A$6:$F$156,4,FALSE)</f>
        <v>kmpl</v>
      </c>
      <c r="F364" s="19">
        <v>0</v>
      </c>
      <c r="G364" s="18">
        <f>VLOOKUP(A364,Uhikhinnad!$A$6:$F$156,5,FALSE)</f>
        <v>5000</v>
      </c>
      <c r="H364" s="18">
        <f>VLOOKUP(A364,Uhikhinnad!$A$6:$F$156,6,FALSE)</f>
        <v>0</v>
      </c>
      <c r="I364" s="35">
        <f t="shared" si="14"/>
        <v>0</v>
      </c>
      <c r="J364" s="49"/>
    </row>
    <row r="365" spans="1:10" ht="11.25">
      <c r="A365" s="52"/>
      <c r="B365" s="55"/>
      <c r="C365" s="17"/>
      <c r="D365" s="17"/>
      <c r="E365" s="18"/>
      <c r="F365" s="19"/>
      <c r="G365" s="18"/>
      <c r="H365" s="18"/>
      <c r="I365" s="35"/>
      <c r="J365" s="49"/>
    </row>
    <row r="366" spans="1:10" ht="11.25">
      <c r="A366" s="52"/>
      <c r="B366" s="55"/>
      <c r="C366" s="12" t="s">
        <v>288</v>
      </c>
      <c r="D366" s="30"/>
      <c r="E366" s="18"/>
      <c r="F366" s="31"/>
      <c r="G366" s="30"/>
      <c r="H366" s="30"/>
      <c r="I366" s="36"/>
      <c r="J366" s="49"/>
    </row>
    <row r="367" spans="1:10" ht="11.25">
      <c r="A367" s="52"/>
      <c r="B367" s="55"/>
      <c r="C367" s="94" t="s">
        <v>95</v>
      </c>
      <c r="D367" s="32"/>
      <c r="E367" s="18"/>
      <c r="F367" s="31"/>
      <c r="G367" s="30"/>
      <c r="H367" s="30"/>
      <c r="I367" s="95">
        <f>SUM(I368:I378)</f>
        <v>0</v>
      </c>
      <c r="J367" s="49"/>
    </row>
    <row r="368" spans="1:10" ht="11.25">
      <c r="A368" s="52">
        <v>401</v>
      </c>
      <c r="B368" s="55" t="s">
        <v>130</v>
      </c>
      <c r="C368" s="17" t="str">
        <f>VLOOKUP(A368,Uhikhinnad!$A$6:$F$156,2,FALSE)</f>
        <v>reoveepuhasti</v>
      </c>
      <c r="D368" s="17">
        <f>VLOOKUP(A368,Uhikhinnad!$A$6:$F$156,3,FALSE)</f>
        <v>0</v>
      </c>
      <c r="E368" s="18">
        <f>VLOOKUP(A368,Uhikhinnad!$A$6:$F$156,4,FALSE)</f>
        <v>0</v>
      </c>
      <c r="F368" s="19">
        <v>0</v>
      </c>
      <c r="G368" s="18">
        <f>VLOOKUP(A368,Uhikhinnad!$A$6:$F$156,5,FALSE)</f>
        <v>0</v>
      </c>
      <c r="H368" s="18">
        <f>VLOOKUP(A368,Uhikhinnad!$A$6:$F$156,6,FALSE)</f>
        <v>0</v>
      </c>
      <c r="I368" s="35">
        <f aca="true" t="shared" si="15" ref="I368:I378">F368*G368+H368</f>
        <v>0</v>
      </c>
      <c r="J368" s="49"/>
    </row>
    <row r="369" spans="1:10" ht="11.25">
      <c r="A369" s="52" t="s">
        <v>236</v>
      </c>
      <c r="B369" s="55" t="s">
        <v>130</v>
      </c>
      <c r="C369" s="17" t="str">
        <f>VLOOKUP(A369,Uhikhinnad!$A$6:$F$156,2,FALSE)</f>
        <v>reoveepuhasti Q&lt;10 m3/d (Tüüp 1)</v>
      </c>
      <c r="D369" s="17">
        <f>VLOOKUP(A369,Uhikhinnad!$A$6:$F$156,3,FALSE)</f>
        <v>0</v>
      </c>
      <c r="E369" s="18" t="str">
        <f>VLOOKUP(A369,Uhikhinnad!$A$6:$F$156,4,FALSE)</f>
        <v>tk</v>
      </c>
      <c r="F369" s="19">
        <v>0</v>
      </c>
      <c r="G369" s="18">
        <f>VLOOKUP(A369,Uhikhinnad!$A$6:$F$156,5,FALSE)</f>
        <v>128000</v>
      </c>
      <c r="H369" s="18">
        <f>VLOOKUP(A369,Uhikhinnad!$A$6:$F$156,6,FALSE)</f>
        <v>0</v>
      </c>
      <c r="I369" s="35">
        <f t="shared" si="15"/>
        <v>0</v>
      </c>
      <c r="J369" s="49"/>
    </row>
    <row r="370" spans="1:10" ht="11.25">
      <c r="A370" s="52" t="s">
        <v>237</v>
      </c>
      <c r="B370" s="55" t="s">
        <v>130</v>
      </c>
      <c r="C370" s="17" t="str">
        <f>VLOOKUP(A370,Uhikhinnad!$A$6:$F$156,2,FALSE)</f>
        <v>reoveepuhasti Q = 10-100 m3/d (Tüüp 2)</v>
      </c>
      <c r="D370" s="17">
        <f>VLOOKUP(A370,Uhikhinnad!$A$6:$F$156,3,FALSE)</f>
        <v>0</v>
      </c>
      <c r="E370" s="18" t="str">
        <f>VLOOKUP(A370,Uhikhinnad!$A$6:$F$156,4,FALSE)</f>
        <v>ie</v>
      </c>
      <c r="F370" s="19">
        <v>0</v>
      </c>
      <c r="G370" s="18">
        <f>VLOOKUP(A370,Uhikhinnad!$A$6:$F$156,5,FALSE)</f>
        <v>705</v>
      </c>
      <c r="H370" s="18">
        <f>VLOOKUP(A370,Uhikhinnad!$A$6:$F$156,6,FALSE)</f>
        <v>0</v>
      </c>
      <c r="I370" s="35">
        <f t="shared" si="15"/>
        <v>0</v>
      </c>
      <c r="J370" s="49"/>
    </row>
    <row r="371" spans="1:10" ht="11.25">
      <c r="A371" s="52" t="s">
        <v>238</v>
      </c>
      <c r="B371" s="55" t="s">
        <v>130</v>
      </c>
      <c r="C371" s="17" t="str">
        <f>VLOOKUP(A371,Uhikhinnad!$A$6:$F$156,2,FALSE)</f>
        <v>reoveepuhasti Q&gt;100 m3/d (Tüüp 3)</v>
      </c>
      <c r="D371" s="17">
        <f>VLOOKUP(A371,Uhikhinnad!$A$6:$F$156,3,FALSE)</f>
        <v>0</v>
      </c>
      <c r="E371" s="18" t="str">
        <f>VLOOKUP(A371,Uhikhinnad!$A$6:$F$156,4,FALSE)</f>
        <v>ie</v>
      </c>
      <c r="F371" s="19">
        <v>0</v>
      </c>
      <c r="G371" s="18">
        <f>VLOOKUP(A371,Uhikhinnad!$A$6:$F$156,5,FALSE)</f>
        <v>640</v>
      </c>
      <c r="H371" s="18">
        <f>VLOOKUP(A371,Uhikhinnad!$A$6:$F$156,6,FALSE)</f>
        <v>0</v>
      </c>
      <c r="I371" s="35">
        <f t="shared" si="15"/>
        <v>0</v>
      </c>
      <c r="J371" s="49"/>
    </row>
    <row r="372" spans="1:10" ht="11.25">
      <c r="A372" s="52">
        <v>402</v>
      </c>
      <c r="B372" s="55" t="s">
        <v>130</v>
      </c>
      <c r="C372" s="17" t="str">
        <f>VLOOKUP(A372,Uhikhinnad!$A$6:$F$156,2,FALSE)</f>
        <v>purgla mahuga 10m3</v>
      </c>
      <c r="D372" s="17">
        <f>VLOOKUP(A372,Uhikhinnad!$A$6:$F$156,3,FALSE)</f>
        <v>0</v>
      </c>
      <c r="E372" s="18" t="str">
        <f>VLOOKUP(A372,Uhikhinnad!$A$6:$F$156,4,FALSE)</f>
        <v>kmpl</v>
      </c>
      <c r="F372" s="19">
        <v>0</v>
      </c>
      <c r="G372" s="18">
        <f>VLOOKUP(A372,Uhikhinnad!$A$6:$F$156,5,FALSE)</f>
        <v>51000</v>
      </c>
      <c r="H372" s="18">
        <f>VLOOKUP(A372,Uhikhinnad!$A$6:$F$156,6,FALSE)</f>
        <v>0</v>
      </c>
      <c r="I372" s="35">
        <f t="shared" si="15"/>
        <v>0</v>
      </c>
      <c r="J372" s="49"/>
    </row>
    <row r="373" spans="1:10" ht="11.25">
      <c r="A373" s="52">
        <v>403</v>
      </c>
      <c r="B373" s="55" t="s">
        <v>130</v>
      </c>
      <c r="C373" s="17" t="str">
        <f>VLOOKUP(A373,Uhikhinnad!$A$6:$F$156,2,FALSE)</f>
        <v>muud reoveepuhasti seadmed/tööd</v>
      </c>
      <c r="D373" s="17" t="str">
        <f>VLOOKUP(A373,Uhikhinnad!$A$6:$F$156,3,FALSE)</f>
        <v>Kohila RVP laiendamine</v>
      </c>
      <c r="E373" s="18" t="str">
        <f>VLOOKUP(A373,Uhikhinnad!$A$6:$F$156,4,FALSE)</f>
        <v>tk</v>
      </c>
      <c r="F373" s="19">
        <v>0</v>
      </c>
      <c r="G373" s="18">
        <f>VLOOKUP(A373,Uhikhinnad!$A$6:$F$156,5,FALSE)</f>
        <v>1470600</v>
      </c>
      <c r="H373" s="18">
        <f>VLOOKUP(A373,Uhikhinnad!$A$6:$F$156,6,FALSE)</f>
        <v>0</v>
      </c>
      <c r="I373" s="35">
        <f t="shared" si="15"/>
        <v>0</v>
      </c>
      <c r="J373" s="49"/>
    </row>
    <row r="374" spans="1:10" ht="11.25">
      <c r="A374" s="52">
        <v>404</v>
      </c>
      <c r="B374" s="55" t="s">
        <v>130</v>
      </c>
      <c r="C374" s="17" t="str">
        <f>VLOOKUP(A374,Uhikhinnad!$A$6:$F$156,2,FALSE)</f>
        <v>biotiigi rekonstrueerimine</v>
      </c>
      <c r="D374" s="17">
        <f>VLOOKUP(A374,Uhikhinnad!$A$6:$F$156,3,FALSE)</f>
        <v>0</v>
      </c>
      <c r="E374" s="18" t="str">
        <f>VLOOKUP(A374,Uhikhinnad!$A$6:$F$156,4,FALSE)</f>
        <v>m2</v>
      </c>
      <c r="F374" s="19">
        <v>0</v>
      </c>
      <c r="G374" s="18">
        <f>VLOOKUP(A374,Uhikhinnad!$A$6:$F$156,5,FALSE)</f>
        <v>15</v>
      </c>
      <c r="H374" s="18">
        <f>VLOOKUP(A374,Uhikhinnad!$A$6:$F$156,6,FALSE)</f>
        <v>0</v>
      </c>
      <c r="I374" s="35">
        <f t="shared" si="15"/>
        <v>0</v>
      </c>
      <c r="J374" s="49"/>
    </row>
    <row r="375" spans="1:10" ht="11.25">
      <c r="A375" s="52">
        <v>405</v>
      </c>
      <c r="B375" s="55" t="s">
        <v>130</v>
      </c>
      <c r="C375" s="17" t="str">
        <f>VLOOKUP(A375,Uhikhinnad!$A$6:$F$156,2,FALSE)</f>
        <v>biotiigi rajamine</v>
      </c>
      <c r="D375" s="17">
        <f>VLOOKUP(A375,Uhikhinnad!$A$6:$F$156,3,FALSE)</f>
        <v>0</v>
      </c>
      <c r="E375" s="18">
        <f>VLOOKUP(A375,Uhikhinnad!$A$6:$F$156,4,FALSE)</f>
        <v>0</v>
      </c>
      <c r="F375" s="19">
        <v>0</v>
      </c>
      <c r="G375" s="18">
        <f>VLOOKUP(A375,Uhikhinnad!$A$6:$F$156,5,FALSE)</f>
        <v>0</v>
      </c>
      <c r="H375" s="18">
        <f>VLOOKUP(A375,Uhikhinnad!$A$6:$F$156,6,FALSE)</f>
        <v>0</v>
      </c>
      <c r="I375" s="35">
        <f t="shared" si="15"/>
        <v>0</v>
      </c>
      <c r="J375" s="49"/>
    </row>
    <row r="376" spans="1:10" ht="11.25">
      <c r="A376" s="52">
        <v>406</v>
      </c>
      <c r="B376" s="55" t="s">
        <v>130</v>
      </c>
      <c r="C376" s="17" t="str">
        <f>VLOOKUP(A376,Uhikhinnad!$A$6:$F$156,2,FALSE)</f>
        <v>septik</v>
      </c>
      <c r="D376" s="17">
        <f>VLOOKUP(A376,Uhikhinnad!$A$6:$F$156,3,FALSE)</f>
        <v>0</v>
      </c>
      <c r="E376" s="18" t="str">
        <f>VLOOKUP(A376,Uhikhinnad!$A$6:$F$156,4,FALSE)</f>
        <v>tk</v>
      </c>
      <c r="F376" s="19">
        <v>0</v>
      </c>
      <c r="G376" s="18">
        <f>VLOOKUP(A376,Uhikhinnad!$A$6:$F$156,5,FALSE)</f>
        <v>2600</v>
      </c>
      <c r="H376" s="18">
        <f>VLOOKUP(A376,Uhikhinnad!$A$6:$F$156,6,FALSE)</f>
        <v>0</v>
      </c>
      <c r="I376" s="35">
        <f t="shared" si="15"/>
        <v>0</v>
      </c>
      <c r="J376" s="49"/>
    </row>
    <row r="377" spans="1:10" ht="11.25">
      <c r="A377" s="52">
        <v>407</v>
      </c>
      <c r="B377" s="55" t="s">
        <v>130</v>
      </c>
      <c r="C377" s="17" t="str">
        <f>VLOOKUP(A377,Uhikhinnad!$A$6:$F$156,2,FALSE)</f>
        <v>kaugjälgimise ja -juhtimise süsteem</v>
      </c>
      <c r="D377" s="17">
        <f>VLOOKUP(A377,Uhikhinnad!$A$6:$F$156,3,FALSE)</f>
        <v>0</v>
      </c>
      <c r="E377" s="18" t="str">
        <f>VLOOKUP(A377,Uhikhinnad!$A$6:$F$156,4,FALSE)</f>
        <v>kmpl</v>
      </c>
      <c r="F377" s="19">
        <v>0</v>
      </c>
      <c r="G377" s="18">
        <f>VLOOKUP(A377,Uhikhinnad!$A$6:$F$156,5,FALSE)</f>
        <v>6000</v>
      </c>
      <c r="H377" s="18">
        <f>VLOOKUP(A377,Uhikhinnad!$A$6:$F$156,6,FALSE)</f>
        <v>0</v>
      </c>
      <c r="I377" s="35">
        <f t="shared" si="15"/>
        <v>0</v>
      </c>
      <c r="J377" s="49"/>
    </row>
    <row r="378" spans="1:10" ht="11.25">
      <c r="A378" s="52">
        <v>408</v>
      </c>
      <c r="B378" s="55" t="s">
        <v>130</v>
      </c>
      <c r="C378" s="17" t="str">
        <f>VLOOKUP(A378,Uhikhinnad!$A$6:$F$156,2,FALSE)</f>
        <v>rasvapüüdur </v>
      </c>
      <c r="D378" s="17" t="str">
        <f>VLOOKUP(A378,Uhikhinnad!$A$6:$F$156,3,FALSE)</f>
        <v>10L/s, alarm, ühendused</v>
      </c>
      <c r="E378" s="18" t="str">
        <f>VLOOKUP(A378,Uhikhinnad!$A$6:$F$156,4,FALSE)</f>
        <v>kmpl</v>
      </c>
      <c r="F378" s="19">
        <v>0</v>
      </c>
      <c r="G378" s="18">
        <f>VLOOKUP(A378,Uhikhinnad!$A$6:$F$156,5,FALSE)</f>
        <v>5000</v>
      </c>
      <c r="H378" s="18">
        <f>VLOOKUP(A378,Uhikhinnad!$A$6:$F$156,6,FALSE)</f>
        <v>0</v>
      </c>
      <c r="I378" s="35">
        <f t="shared" si="15"/>
        <v>0</v>
      </c>
      <c r="J378" s="49"/>
    </row>
    <row r="379" spans="1:10" ht="11.25">
      <c r="A379" s="52"/>
      <c r="B379" s="55"/>
      <c r="C379" s="33"/>
      <c r="D379" s="32"/>
      <c r="E379" s="18"/>
      <c r="F379" s="31"/>
      <c r="G379" s="30"/>
      <c r="H379" s="30"/>
      <c r="I379" s="36"/>
      <c r="J379" s="49"/>
    </row>
    <row r="380" spans="1:12" ht="11.25">
      <c r="A380" s="52"/>
      <c r="B380" s="55"/>
      <c r="C380" s="94" t="s">
        <v>96</v>
      </c>
      <c r="D380" s="32"/>
      <c r="E380" s="18"/>
      <c r="F380" s="31"/>
      <c r="G380" s="30"/>
      <c r="H380" s="30"/>
      <c r="I380" s="95">
        <f>SUM(I381:I391)</f>
        <v>0</v>
      </c>
      <c r="J380" s="49"/>
      <c r="L380" s="51"/>
    </row>
    <row r="381" spans="1:10" ht="11.25">
      <c r="A381" s="52">
        <v>401</v>
      </c>
      <c r="B381" s="55" t="s">
        <v>129</v>
      </c>
      <c r="C381" s="17" t="str">
        <f>VLOOKUP(A381,Uhikhinnad!$A$6:$F$156,2,FALSE)</f>
        <v>reoveepuhasti</v>
      </c>
      <c r="D381" s="17">
        <f>VLOOKUP(A381,Uhikhinnad!$A$6:$F$156,3,FALSE)</f>
        <v>0</v>
      </c>
      <c r="E381" s="18">
        <f>VLOOKUP(A381,Uhikhinnad!$A$6:$F$156,4,FALSE)</f>
        <v>0</v>
      </c>
      <c r="F381" s="19">
        <v>0</v>
      </c>
      <c r="G381" s="18">
        <f>VLOOKUP(A381,Uhikhinnad!$A$6:$F$156,5,FALSE)</f>
        <v>0</v>
      </c>
      <c r="H381" s="18">
        <f>VLOOKUP(A381,Uhikhinnad!$A$6:$F$156,6,FALSE)</f>
        <v>0</v>
      </c>
      <c r="I381" s="35">
        <f aca="true" t="shared" si="16" ref="I381:I391">F381*G381+H381</f>
        <v>0</v>
      </c>
      <c r="J381" s="49"/>
    </row>
    <row r="382" spans="1:10" ht="11.25">
      <c r="A382" s="52" t="s">
        <v>236</v>
      </c>
      <c r="B382" s="55" t="s">
        <v>129</v>
      </c>
      <c r="C382" s="17" t="str">
        <f>VLOOKUP(A382,Uhikhinnad!$A$6:$F$156,2,FALSE)</f>
        <v>reoveepuhasti Q&lt;10 m3/d (Tüüp 1)</v>
      </c>
      <c r="D382" s="17">
        <f>VLOOKUP(A382,Uhikhinnad!$A$6:$F$156,3,FALSE)</f>
        <v>0</v>
      </c>
      <c r="E382" s="18" t="str">
        <f>VLOOKUP(A382,Uhikhinnad!$A$6:$F$156,4,FALSE)</f>
        <v>tk</v>
      </c>
      <c r="F382" s="19">
        <v>0</v>
      </c>
      <c r="G382" s="18">
        <f>VLOOKUP(A382,Uhikhinnad!$A$6:$F$156,5,FALSE)</f>
        <v>128000</v>
      </c>
      <c r="H382" s="18">
        <f>VLOOKUP(A382,Uhikhinnad!$A$6:$F$156,6,FALSE)</f>
        <v>0</v>
      </c>
      <c r="I382" s="35">
        <f t="shared" si="16"/>
        <v>0</v>
      </c>
      <c r="J382" s="49"/>
    </row>
    <row r="383" spans="1:10" ht="11.25">
      <c r="A383" s="52" t="s">
        <v>237</v>
      </c>
      <c r="B383" s="55" t="s">
        <v>129</v>
      </c>
      <c r="C383" s="17" t="str">
        <f>VLOOKUP(A383,Uhikhinnad!$A$6:$F$156,2,FALSE)</f>
        <v>reoveepuhasti Q = 10-100 m3/d (Tüüp 2)</v>
      </c>
      <c r="D383" s="17">
        <f>VLOOKUP(A383,Uhikhinnad!$A$6:$F$156,3,FALSE)</f>
        <v>0</v>
      </c>
      <c r="E383" s="18" t="str">
        <f>VLOOKUP(A383,Uhikhinnad!$A$6:$F$156,4,FALSE)</f>
        <v>ie</v>
      </c>
      <c r="F383" s="19">
        <v>0</v>
      </c>
      <c r="G383" s="18">
        <f>VLOOKUP(A383,Uhikhinnad!$A$6:$F$156,5,FALSE)</f>
        <v>705</v>
      </c>
      <c r="H383" s="18">
        <f>VLOOKUP(A383,Uhikhinnad!$A$6:$F$156,6,FALSE)</f>
        <v>0</v>
      </c>
      <c r="I383" s="35">
        <f t="shared" si="16"/>
        <v>0</v>
      </c>
      <c r="J383" s="49"/>
    </row>
    <row r="384" spans="1:10" ht="11.25">
      <c r="A384" s="52" t="s">
        <v>238</v>
      </c>
      <c r="B384" s="55" t="s">
        <v>129</v>
      </c>
      <c r="C384" s="17" t="str">
        <f>VLOOKUP(A384,Uhikhinnad!$A$6:$F$156,2,FALSE)</f>
        <v>reoveepuhasti Q&gt;100 m3/d (Tüüp 3)</v>
      </c>
      <c r="D384" s="17">
        <f>VLOOKUP(A384,Uhikhinnad!$A$6:$F$156,3,FALSE)</f>
        <v>0</v>
      </c>
      <c r="E384" s="18" t="str">
        <f>VLOOKUP(A384,Uhikhinnad!$A$6:$F$156,4,FALSE)</f>
        <v>ie</v>
      </c>
      <c r="F384" s="19">
        <v>0</v>
      </c>
      <c r="G384" s="18">
        <f>VLOOKUP(A384,Uhikhinnad!$A$6:$F$156,5,FALSE)</f>
        <v>640</v>
      </c>
      <c r="H384" s="18">
        <f>VLOOKUP(A384,Uhikhinnad!$A$6:$F$156,6,FALSE)</f>
        <v>0</v>
      </c>
      <c r="I384" s="35">
        <f t="shared" si="16"/>
        <v>0</v>
      </c>
      <c r="J384" s="49"/>
    </row>
    <row r="385" spans="1:10" ht="11.25">
      <c r="A385" s="52">
        <v>402</v>
      </c>
      <c r="B385" s="55" t="s">
        <v>129</v>
      </c>
      <c r="C385" s="17" t="str">
        <f>VLOOKUP(A385,Uhikhinnad!$A$6:$F$156,2,FALSE)</f>
        <v>purgla mahuga 10m3</v>
      </c>
      <c r="D385" s="17">
        <f>VLOOKUP(A385,Uhikhinnad!$A$6:$F$156,3,FALSE)</f>
        <v>0</v>
      </c>
      <c r="E385" s="18" t="str">
        <f>VLOOKUP(A385,Uhikhinnad!$A$6:$F$156,4,FALSE)</f>
        <v>kmpl</v>
      </c>
      <c r="F385" s="19">
        <v>0</v>
      </c>
      <c r="G385" s="18">
        <f>VLOOKUP(A385,Uhikhinnad!$A$6:$F$156,5,FALSE)</f>
        <v>51000</v>
      </c>
      <c r="H385" s="18">
        <f>VLOOKUP(A385,Uhikhinnad!$A$6:$F$156,6,FALSE)</f>
        <v>0</v>
      </c>
      <c r="I385" s="35">
        <f t="shared" si="16"/>
        <v>0</v>
      </c>
      <c r="J385" s="49"/>
    </row>
    <row r="386" spans="1:10" ht="11.25">
      <c r="A386" s="52">
        <v>403</v>
      </c>
      <c r="B386" s="55" t="s">
        <v>129</v>
      </c>
      <c r="C386" s="17" t="str">
        <f>VLOOKUP(A386,Uhikhinnad!$A$6:$F$156,2,FALSE)</f>
        <v>muud reoveepuhasti seadmed/tööd</v>
      </c>
      <c r="D386" s="17" t="str">
        <f>VLOOKUP(A386,Uhikhinnad!$A$6:$F$156,3,FALSE)</f>
        <v>Kohila RVP laiendamine</v>
      </c>
      <c r="E386" s="18" t="str">
        <f>VLOOKUP(A386,Uhikhinnad!$A$6:$F$156,4,FALSE)</f>
        <v>tk</v>
      </c>
      <c r="F386" s="19">
        <v>0</v>
      </c>
      <c r="G386" s="18">
        <f>VLOOKUP(A386,Uhikhinnad!$A$6:$F$156,5,FALSE)</f>
        <v>1470600</v>
      </c>
      <c r="H386" s="18">
        <f>VLOOKUP(A386,Uhikhinnad!$A$6:$F$156,6,FALSE)</f>
        <v>0</v>
      </c>
      <c r="I386" s="35">
        <f t="shared" si="16"/>
        <v>0</v>
      </c>
      <c r="J386" s="49"/>
    </row>
    <row r="387" spans="1:10" ht="11.25">
      <c r="A387" s="52">
        <v>404</v>
      </c>
      <c r="B387" s="55" t="s">
        <v>129</v>
      </c>
      <c r="C387" s="17" t="str">
        <f>VLOOKUP(A387,Uhikhinnad!$A$6:$F$156,2,FALSE)</f>
        <v>biotiigi rekonstrueerimine</v>
      </c>
      <c r="D387" s="17">
        <f>VLOOKUP(A387,Uhikhinnad!$A$6:$F$156,3,FALSE)</f>
        <v>0</v>
      </c>
      <c r="E387" s="18" t="str">
        <f>VLOOKUP(A387,Uhikhinnad!$A$6:$F$156,4,FALSE)</f>
        <v>m2</v>
      </c>
      <c r="F387" s="19">
        <v>0</v>
      </c>
      <c r="G387" s="18">
        <f>VLOOKUP(A387,Uhikhinnad!$A$6:$F$156,5,FALSE)</f>
        <v>15</v>
      </c>
      <c r="H387" s="18">
        <f>VLOOKUP(A387,Uhikhinnad!$A$6:$F$156,6,FALSE)</f>
        <v>0</v>
      </c>
      <c r="I387" s="35">
        <f t="shared" si="16"/>
        <v>0</v>
      </c>
      <c r="J387" s="49"/>
    </row>
    <row r="388" spans="1:10" ht="11.25">
      <c r="A388" s="52">
        <v>405</v>
      </c>
      <c r="B388" s="55" t="s">
        <v>129</v>
      </c>
      <c r="C388" s="17" t="str">
        <f>VLOOKUP(A388,Uhikhinnad!$A$6:$F$156,2,FALSE)</f>
        <v>biotiigi rajamine</v>
      </c>
      <c r="D388" s="17">
        <f>VLOOKUP(A388,Uhikhinnad!$A$6:$F$156,3,FALSE)</f>
        <v>0</v>
      </c>
      <c r="E388" s="18">
        <f>VLOOKUP(A388,Uhikhinnad!$A$6:$F$156,4,FALSE)</f>
        <v>0</v>
      </c>
      <c r="F388" s="19">
        <v>0</v>
      </c>
      <c r="G388" s="18">
        <f>VLOOKUP(A388,Uhikhinnad!$A$6:$F$156,5,FALSE)</f>
        <v>0</v>
      </c>
      <c r="H388" s="18">
        <f>VLOOKUP(A388,Uhikhinnad!$A$6:$F$156,6,FALSE)</f>
        <v>0</v>
      </c>
      <c r="I388" s="35">
        <f t="shared" si="16"/>
        <v>0</v>
      </c>
      <c r="J388" s="49"/>
    </row>
    <row r="389" spans="1:10" ht="11.25">
      <c r="A389" s="52">
        <v>406</v>
      </c>
      <c r="B389" s="55" t="s">
        <v>129</v>
      </c>
      <c r="C389" s="17" t="str">
        <f>VLOOKUP(A389,Uhikhinnad!$A$6:$F$156,2,FALSE)</f>
        <v>septik</v>
      </c>
      <c r="D389" s="17">
        <f>VLOOKUP(A389,Uhikhinnad!$A$6:$F$156,3,FALSE)</f>
        <v>0</v>
      </c>
      <c r="E389" s="18" t="str">
        <f>VLOOKUP(A389,Uhikhinnad!$A$6:$F$156,4,FALSE)</f>
        <v>tk</v>
      </c>
      <c r="F389" s="19">
        <v>0</v>
      </c>
      <c r="G389" s="18">
        <f>VLOOKUP(A389,Uhikhinnad!$A$6:$F$156,5,FALSE)</f>
        <v>2600</v>
      </c>
      <c r="H389" s="18">
        <f>VLOOKUP(A389,Uhikhinnad!$A$6:$F$156,6,FALSE)</f>
        <v>0</v>
      </c>
      <c r="I389" s="35">
        <f t="shared" si="16"/>
        <v>0</v>
      </c>
      <c r="J389" s="49"/>
    </row>
    <row r="390" spans="1:10" ht="11.25">
      <c r="A390" s="52">
        <v>407</v>
      </c>
      <c r="B390" s="55" t="s">
        <v>129</v>
      </c>
      <c r="C390" s="17" t="str">
        <f>VLOOKUP(A390,Uhikhinnad!$A$6:$F$156,2,FALSE)</f>
        <v>kaugjälgimise ja -juhtimise süsteem</v>
      </c>
      <c r="D390" s="17">
        <f>VLOOKUP(A390,Uhikhinnad!$A$6:$F$156,3,FALSE)</f>
        <v>0</v>
      </c>
      <c r="E390" s="18" t="str">
        <f>VLOOKUP(A390,Uhikhinnad!$A$6:$F$156,4,FALSE)</f>
        <v>kmpl</v>
      </c>
      <c r="F390" s="19">
        <v>0</v>
      </c>
      <c r="G390" s="18">
        <f>VLOOKUP(A390,Uhikhinnad!$A$6:$F$156,5,FALSE)</f>
        <v>6000</v>
      </c>
      <c r="H390" s="18">
        <f>VLOOKUP(A390,Uhikhinnad!$A$6:$F$156,6,FALSE)</f>
        <v>0</v>
      </c>
      <c r="I390" s="35">
        <f t="shared" si="16"/>
        <v>0</v>
      </c>
      <c r="J390" s="49"/>
    </row>
    <row r="391" spans="1:10" ht="11.25">
      <c r="A391" s="52">
        <v>408</v>
      </c>
      <c r="B391" s="55" t="s">
        <v>129</v>
      </c>
      <c r="C391" s="17" t="str">
        <f>VLOOKUP(A391,Uhikhinnad!$A$6:$F$156,2,FALSE)</f>
        <v>rasvapüüdur </v>
      </c>
      <c r="D391" s="17" t="str">
        <f>VLOOKUP(A391,Uhikhinnad!$A$6:$F$156,3,FALSE)</f>
        <v>10L/s, alarm, ühendused</v>
      </c>
      <c r="E391" s="18" t="str">
        <f>VLOOKUP(A391,Uhikhinnad!$A$6:$F$156,4,FALSE)</f>
        <v>kmpl</v>
      </c>
      <c r="F391" s="19">
        <v>0</v>
      </c>
      <c r="G391" s="18">
        <f>VLOOKUP(A391,Uhikhinnad!$A$6:$F$156,5,FALSE)</f>
        <v>5000</v>
      </c>
      <c r="H391" s="18">
        <f>VLOOKUP(A391,Uhikhinnad!$A$6:$F$156,6,FALSE)</f>
        <v>0</v>
      </c>
      <c r="I391" s="35">
        <f t="shared" si="16"/>
        <v>0</v>
      </c>
      <c r="J391" s="49"/>
    </row>
    <row r="392" spans="1:10" ht="11.25">
      <c r="A392" s="52"/>
      <c r="B392" s="55"/>
      <c r="C392" s="17"/>
      <c r="D392" s="17"/>
      <c r="E392" s="18"/>
      <c r="F392" s="19"/>
      <c r="G392" s="18"/>
      <c r="H392" s="18"/>
      <c r="I392" s="35"/>
      <c r="J392" s="49"/>
    </row>
    <row r="393" spans="1:10" ht="11.25">
      <c r="A393" s="52"/>
      <c r="B393" s="53"/>
      <c r="C393" s="12"/>
      <c r="D393" s="200" t="s">
        <v>61</v>
      </c>
      <c r="E393" s="202"/>
      <c r="F393" s="202"/>
      <c r="G393" s="202"/>
      <c r="H393" s="23"/>
      <c r="I393" s="37">
        <f>SUM(I249,I294,I340,I367)*(1+Uhikhinnad!$E$161)</f>
        <v>0</v>
      </c>
      <c r="J393" s="49"/>
    </row>
    <row r="394" spans="1:15" ht="11.25">
      <c r="A394" s="52"/>
      <c r="B394" s="53"/>
      <c r="C394" s="30"/>
      <c r="D394" s="200" t="s">
        <v>62</v>
      </c>
      <c r="E394" s="202"/>
      <c r="F394" s="202"/>
      <c r="G394" s="202"/>
      <c r="H394" s="23"/>
      <c r="I394" s="37">
        <f>SUM(I271,I316,I353,I380)*(1+Uhikhinnad!$E$161)</f>
        <v>0</v>
      </c>
      <c r="J394" s="49"/>
      <c r="O394" s="56"/>
    </row>
    <row r="395" spans="1:15" ht="11.25">
      <c r="A395" s="20"/>
      <c r="B395" s="21"/>
      <c r="C395" s="13"/>
      <c r="D395" s="201" t="s">
        <v>13</v>
      </c>
      <c r="E395" s="203"/>
      <c r="F395" s="24"/>
      <c r="G395" s="24"/>
      <c r="H395" s="25"/>
      <c r="I395" s="38">
        <f>SUM(I393:I394)</f>
        <v>0</v>
      </c>
      <c r="J395" s="49"/>
      <c r="O395" s="56"/>
    </row>
    <row r="396" spans="1:10" ht="11.25">
      <c r="A396" s="20"/>
      <c r="B396" s="21"/>
      <c r="C396" s="12"/>
      <c r="D396" s="30"/>
      <c r="E396" s="30"/>
      <c r="F396" s="30"/>
      <c r="G396" s="30"/>
      <c r="H396" s="30"/>
      <c r="I396" s="41"/>
      <c r="J396" s="30"/>
    </row>
    <row r="397" spans="1:10" ht="11.25">
      <c r="A397" s="20"/>
      <c r="B397" s="21"/>
      <c r="C397" s="12" t="s">
        <v>133</v>
      </c>
      <c r="D397" s="30"/>
      <c r="E397" s="30"/>
      <c r="F397" s="30"/>
      <c r="G397" s="30"/>
      <c r="H397" s="30"/>
      <c r="I397" s="41"/>
      <c r="J397" s="30"/>
    </row>
    <row r="398" spans="1:10" ht="11.25">
      <c r="A398" s="20"/>
      <c r="B398" s="21"/>
      <c r="C398" s="50" t="s">
        <v>88</v>
      </c>
      <c r="D398" s="30"/>
      <c r="E398" s="30"/>
      <c r="F398" s="30"/>
      <c r="G398" s="30"/>
      <c r="H398" s="30"/>
      <c r="I398" s="41"/>
      <c r="J398" s="30"/>
    </row>
    <row r="399" spans="3:10" ht="11.25" customHeight="1">
      <c r="C399" s="12" t="s">
        <v>131</v>
      </c>
      <c r="D399" s="30"/>
      <c r="E399" s="30"/>
      <c r="F399" s="30"/>
      <c r="G399" s="30"/>
      <c r="H399" s="30"/>
      <c r="I399" s="41"/>
      <c r="J399" s="30"/>
    </row>
    <row r="400" spans="3:10" ht="11.25" customHeight="1">
      <c r="C400" s="94" t="s">
        <v>281</v>
      </c>
      <c r="D400" s="30"/>
      <c r="E400" s="30"/>
      <c r="F400" s="30"/>
      <c r="G400" s="30"/>
      <c r="H400" s="30"/>
      <c r="I400" s="62">
        <f>SUM(I401:I429)</f>
        <v>0</v>
      </c>
      <c r="J400" s="30"/>
    </row>
    <row r="401" spans="1:10" ht="11.25">
      <c r="A401" s="52">
        <v>501</v>
      </c>
      <c r="B401" s="55" t="s">
        <v>130</v>
      </c>
      <c r="C401" s="17" t="str">
        <f>VLOOKUP(A401,Uhikhinnad!$A$6:$F$156,2,FALSE)</f>
        <v>isevoolne sademeveetoru</v>
      </c>
      <c r="D401" s="17">
        <f>VLOOKUP(A401,Uhikhinnad!$A$6:$F$156,3,FALSE)</f>
        <v>0</v>
      </c>
      <c r="E401" s="18">
        <f>VLOOKUP(A401,Uhikhinnad!$A$6:$F$156,4,FALSE)</f>
        <v>0</v>
      </c>
      <c r="F401" s="19">
        <v>0</v>
      </c>
      <c r="G401" s="18">
        <f>VLOOKUP(A401,Uhikhinnad!$A$6:$F$156,5,FALSE)</f>
        <v>0</v>
      </c>
      <c r="H401" s="18">
        <f>VLOOKUP(A401,Uhikhinnad!$A$6:$F$156,6,FALSE)</f>
        <v>0</v>
      </c>
      <c r="I401" s="35">
        <f>F401*G401+H401</f>
        <v>0</v>
      </c>
      <c r="J401" s="49"/>
    </row>
    <row r="402" spans="1:10" ht="11.25">
      <c r="A402" s="52" t="s">
        <v>166</v>
      </c>
      <c r="B402" s="55" t="s">
        <v>130</v>
      </c>
      <c r="C402" s="17" t="str">
        <f>VLOOKUP(A402,Uhikhinnad!$A$6:$F$156,2,FALSE)</f>
        <v>isevoolne sademeveetoru kõvakattega alal </v>
      </c>
      <c r="D402" s="17" t="str">
        <f>VLOOKUP(A402,Uhikhinnad!$A$6:$F$156,3,FALSE)</f>
        <v>De160-De315</v>
      </c>
      <c r="E402" s="18" t="str">
        <f>VLOOKUP(A402,Uhikhinnad!$A$6:$F$156,4,FALSE)</f>
        <v>m</v>
      </c>
      <c r="F402" s="19">
        <v>0</v>
      </c>
      <c r="G402" s="18">
        <f>VLOOKUP(A402,Uhikhinnad!$A$6:$F$156,5,FALSE)</f>
        <v>210</v>
      </c>
      <c r="H402" s="18">
        <f>VLOOKUP(A402,Uhikhinnad!$A$6:$F$156,6,FALSE)</f>
        <v>0</v>
      </c>
      <c r="I402" s="35">
        <f aca="true" t="shared" si="17" ref="I402:I429">F402*G402+H402</f>
        <v>0</v>
      </c>
      <c r="J402" s="49"/>
    </row>
    <row r="403" spans="1:10" ht="11.25">
      <c r="A403" s="52" t="s">
        <v>167</v>
      </c>
      <c r="B403" s="55" t="s">
        <v>130</v>
      </c>
      <c r="C403" s="17" t="str">
        <f>VLOOKUP(A403,Uhikhinnad!$A$6:$F$156,2,FALSE)</f>
        <v>isevoolne sademeveetoru kõvakattega alal </v>
      </c>
      <c r="D403" s="17" t="str">
        <f>VLOOKUP(A403,Uhikhinnad!$A$6:$F$156,3,FALSE)</f>
        <v>De400-De630</v>
      </c>
      <c r="E403" s="18" t="str">
        <f>VLOOKUP(A403,Uhikhinnad!$A$6:$F$156,4,FALSE)</f>
        <v>m</v>
      </c>
      <c r="F403" s="19">
        <v>0</v>
      </c>
      <c r="G403" s="18">
        <f>VLOOKUP(A403,Uhikhinnad!$A$6:$F$156,5,FALSE)</f>
        <v>300</v>
      </c>
      <c r="H403" s="18">
        <f>VLOOKUP(A403,Uhikhinnad!$A$6:$F$156,6,FALSE)</f>
        <v>0</v>
      </c>
      <c r="I403" s="35">
        <f t="shared" si="17"/>
        <v>0</v>
      </c>
      <c r="J403" s="49"/>
    </row>
    <row r="404" spans="1:10" ht="11.25">
      <c r="A404" s="52" t="s">
        <v>168</v>
      </c>
      <c r="B404" s="55" t="s">
        <v>130</v>
      </c>
      <c r="C404" s="17" t="str">
        <f>VLOOKUP(A404,Uhikhinnad!$A$6:$F$156,2,FALSE)</f>
        <v>isevoolne sademeveetoru kõvakattega alal </v>
      </c>
      <c r="D404" s="17" t="str">
        <f>VLOOKUP(A404,Uhikhinnad!$A$6:$F$156,3,FALSE)</f>
        <v>De630</v>
      </c>
      <c r="E404" s="18" t="str">
        <f>VLOOKUP(A404,Uhikhinnad!$A$6:$F$156,4,FALSE)</f>
        <v>m</v>
      </c>
      <c r="F404" s="19">
        <v>0</v>
      </c>
      <c r="G404" s="18">
        <f>VLOOKUP(A404,Uhikhinnad!$A$6:$F$156,5,FALSE)</f>
        <v>0</v>
      </c>
      <c r="H404" s="18">
        <f>VLOOKUP(A404,Uhikhinnad!$A$6:$F$156,6,FALSE)</f>
        <v>0</v>
      </c>
      <c r="I404" s="35">
        <f t="shared" si="17"/>
        <v>0</v>
      </c>
      <c r="J404" s="49"/>
    </row>
    <row r="405" spans="1:10" ht="11.25">
      <c r="A405" s="52" t="s">
        <v>169</v>
      </c>
      <c r="B405" s="55" t="s">
        <v>130</v>
      </c>
      <c r="C405" s="17" t="str">
        <f>VLOOKUP(A405,Uhikhinnad!$A$6:$F$156,2,FALSE)</f>
        <v>isevoolne sademeveetoru kõvakattega alal </v>
      </c>
      <c r="D405" s="17" t="str">
        <f>VLOOKUP(A405,Uhikhinnad!$A$6:$F$156,3,FALSE)</f>
        <v>De800-De1000</v>
      </c>
      <c r="E405" s="18" t="str">
        <f>VLOOKUP(A405,Uhikhinnad!$A$6:$F$156,4,FALSE)</f>
        <v>m</v>
      </c>
      <c r="F405" s="19">
        <v>0</v>
      </c>
      <c r="G405" s="18">
        <f>VLOOKUP(A405,Uhikhinnad!$A$6:$F$156,5,FALSE)</f>
        <v>1000</v>
      </c>
      <c r="H405" s="18">
        <f>VLOOKUP(A405,Uhikhinnad!$A$6:$F$156,6,FALSE)</f>
        <v>0</v>
      </c>
      <c r="I405" s="35">
        <f t="shared" si="17"/>
        <v>0</v>
      </c>
      <c r="J405" s="49"/>
    </row>
    <row r="406" spans="1:10" ht="11.25">
      <c r="A406" s="52" t="s">
        <v>247</v>
      </c>
      <c r="B406" s="55" t="s">
        <v>130</v>
      </c>
      <c r="C406" s="17" t="str">
        <f>VLOOKUP(A406,Uhikhinnad!$A$6:$F$156,2,FALSE)</f>
        <v>isevoolne sademeveetoru kruusateel, pinnaseteel või haljasalal</v>
      </c>
      <c r="D406" s="17" t="str">
        <f>VLOOKUP(A406,Uhikhinnad!$A$6:$F$156,3,FALSE)</f>
        <v>De160-De315</v>
      </c>
      <c r="E406" s="18" t="str">
        <f>VLOOKUP(A406,Uhikhinnad!$A$6:$F$156,4,FALSE)</f>
        <v>m</v>
      </c>
      <c r="F406" s="19">
        <v>0</v>
      </c>
      <c r="G406" s="18">
        <f>VLOOKUP(A406,Uhikhinnad!$A$6:$F$156,5,FALSE)</f>
        <v>200</v>
      </c>
      <c r="H406" s="18">
        <f>VLOOKUP(A406,Uhikhinnad!$A$6:$F$156,6,FALSE)</f>
        <v>0</v>
      </c>
      <c r="I406" s="35">
        <f t="shared" si="17"/>
        <v>0</v>
      </c>
      <c r="J406" s="49"/>
    </row>
    <row r="407" spans="1:10" ht="11.25">
      <c r="A407" s="52" t="s">
        <v>248</v>
      </c>
      <c r="B407" s="55" t="s">
        <v>130</v>
      </c>
      <c r="C407" s="17" t="str">
        <f>VLOOKUP(A407,Uhikhinnad!$A$6:$F$156,2,FALSE)</f>
        <v>isevoolne sademeveetoru kruusateel, pinnaseteel või haljasalal</v>
      </c>
      <c r="D407" s="17" t="str">
        <f>VLOOKUP(A407,Uhikhinnad!$A$6:$F$156,3,FALSE)</f>
        <v>De400-De630</v>
      </c>
      <c r="E407" s="18" t="str">
        <f>VLOOKUP(A407,Uhikhinnad!$A$6:$F$156,4,FALSE)</f>
        <v>m</v>
      </c>
      <c r="F407" s="19">
        <v>0</v>
      </c>
      <c r="G407" s="18">
        <f>VLOOKUP(A407,Uhikhinnad!$A$6:$F$156,5,FALSE)</f>
        <v>240</v>
      </c>
      <c r="H407" s="18">
        <f>VLOOKUP(A407,Uhikhinnad!$A$6:$F$156,6,FALSE)</f>
        <v>0</v>
      </c>
      <c r="I407" s="35">
        <f t="shared" si="17"/>
        <v>0</v>
      </c>
      <c r="J407" s="49"/>
    </row>
    <row r="408" spans="1:10" ht="11.25">
      <c r="A408" s="52" t="s">
        <v>249</v>
      </c>
      <c r="B408" s="55" t="s">
        <v>130</v>
      </c>
      <c r="C408" s="17" t="str">
        <f>VLOOKUP(A408,Uhikhinnad!$A$6:$F$156,2,FALSE)</f>
        <v>isevoolne sademeveetoru kruusateel, pinnaseteel või haljasalal</v>
      </c>
      <c r="D408" s="17" t="str">
        <f>VLOOKUP(A408,Uhikhinnad!$A$6:$F$156,3,FALSE)</f>
        <v>De630</v>
      </c>
      <c r="E408" s="18" t="str">
        <f>VLOOKUP(A408,Uhikhinnad!$A$6:$F$156,4,FALSE)</f>
        <v>m</v>
      </c>
      <c r="F408" s="19">
        <v>0</v>
      </c>
      <c r="G408" s="18">
        <f>VLOOKUP(A408,Uhikhinnad!$A$6:$F$156,5,FALSE)</f>
        <v>550</v>
      </c>
      <c r="H408" s="18">
        <f>VLOOKUP(A408,Uhikhinnad!$A$6:$F$156,6,FALSE)</f>
        <v>0</v>
      </c>
      <c r="I408" s="35">
        <f t="shared" si="17"/>
        <v>0</v>
      </c>
      <c r="J408" s="49"/>
    </row>
    <row r="409" spans="1:10" ht="11.25">
      <c r="A409" s="52" t="s">
        <v>250</v>
      </c>
      <c r="B409" s="55" t="s">
        <v>130</v>
      </c>
      <c r="C409" s="17" t="str">
        <f>VLOOKUP(A409,Uhikhinnad!$A$6:$F$156,2,FALSE)</f>
        <v>isevoolne sademeveetoru kruusateel, pinnaseteel või haljasalal</v>
      </c>
      <c r="D409" s="17" t="str">
        <f>VLOOKUP(A409,Uhikhinnad!$A$6:$F$156,3,FALSE)</f>
        <v>De800-De1000</v>
      </c>
      <c r="E409" s="18" t="str">
        <f>VLOOKUP(A409,Uhikhinnad!$A$6:$F$156,4,FALSE)</f>
        <v>m</v>
      </c>
      <c r="F409" s="19">
        <v>0</v>
      </c>
      <c r="G409" s="18">
        <f>VLOOKUP(A409,Uhikhinnad!$A$6:$F$156,5,FALSE)</f>
        <v>750</v>
      </c>
      <c r="H409" s="18">
        <f>VLOOKUP(A409,Uhikhinnad!$A$6:$F$156,6,FALSE)</f>
        <v>0</v>
      </c>
      <c r="I409" s="35">
        <f t="shared" si="17"/>
        <v>0</v>
      </c>
      <c r="J409" s="49"/>
    </row>
    <row r="410" spans="1:10" ht="11.25">
      <c r="A410" s="52">
        <v>502</v>
      </c>
      <c r="B410" s="55" t="s">
        <v>130</v>
      </c>
      <c r="C410" s="17" t="str">
        <f>VLOOKUP(A410,Uhikhinnad!$A$6:$F$156,2,FALSE)</f>
        <v>sademeveesurvetoru</v>
      </c>
      <c r="D410" s="17">
        <f>VLOOKUP(A410,Uhikhinnad!$A$6:$F$156,3,FALSE)</f>
        <v>0</v>
      </c>
      <c r="E410" s="18">
        <f>VLOOKUP(A410,Uhikhinnad!$A$6:$F$156,4,FALSE)</f>
        <v>0</v>
      </c>
      <c r="F410" s="19">
        <v>0</v>
      </c>
      <c r="G410" s="18">
        <f>VLOOKUP(A410,Uhikhinnad!$A$6:$F$156,5,FALSE)</f>
        <v>0</v>
      </c>
      <c r="H410" s="18">
        <f>VLOOKUP(A410,Uhikhinnad!$A$6:$F$156,6,FALSE)</f>
        <v>0</v>
      </c>
      <c r="I410" s="35">
        <f t="shared" si="17"/>
        <v>0</v>
      </c>
      <c r="J410" s="49"/>
    </row>
    <row r="411" spans="1:10" ht="11.25">
      <c r="A411" s="52" t="s">
        <v>170</v>
      </c>
      <c r="B411" s="55" t="s">
        <v>130</v>
      </c>
      <c r="C411" s="17" t="str">
        <f>VLOOKUP(A411,Uhikhinnad!$A$6:$F$156,2,FALSE)</f>
        <v>sademeveesurvetoru kõvakattega alal</v>
      </c>
      <c r="D411" s="17" t="str">
        <f>VLOOKUP(A411,Uhikhinnad!$A$6:$F$156,3,FALSE)</f>
        <v>De63-De110</v>
      </c>
      <c r="E411" s="18" t="str">
        <f>VLOOKUP(A411,Uhikhinnad!$A$6:$F$156,4,FALSE)</f>
        <v>m</v>
      </c>
      <c r="F411" s="19">
        <v>0</v>
      </c>
      <c r="G411" s="18">
        <f>VLOOKUP(A411,Uhikhinnad!$A$6:$F$156,5,FALSE)</f>
        <v>120</v>
      </c>
      <c r="H411" s="18">
        <f>VLOOKUP(A411,Uhikhinnad!$A$6:$F$156,6,FALSE)</f>
        <v>0</v>
      </c>
      <c r="I411" s="35">
        <f t="shared" si="17"/>
        <v>0</v>
      </c>
      <c r="J411" s="49"/>
    </row>
    <row r="412" spans="1:10" ht="11.25">
      <c r="A412" s="52" t="s">
        <v>171</v>
      </c>
      <c r="B412" s="55" t="s">
        <v>130</v>
      </c>
      <c r="C412" s="17" t="str">
        <f>VLOOKUP(A412,Uhikhinnad!$A$6:$F$156,2,FALSE)</f>
        <v>sademeveesurvetoru kõvakattega alal</v>
      </c>
      <c r="D412" s="17" t="str">
        <f>VLOOKUP(A412,Uhikhinnad!$A$6:$F$156,3,FALSE)</f>
        <v>De160-De315</v>
      </c>
      <c r="E412" s="18" t="str">
        <f>VLOOKUP(A412,Uhikhinnad!$A$6:$F$156,4,FALSE)</f>
        <v>m</v>
      </c>
      <c r="F412" s="19">
        <v>0</v>
      </c>
      <c r="G412" s="18">
        <f>VLOOKUP(A412,Uhikhinnad!$A$6:$F$156,5,FALSE)</f>
        <v>200</v>
      </c>
      <c r="H412" s="18">
        <f>VLOOKUP(A412,Uhikhinnad!$A$6:$F$156,6,FALSE)</f>
        <v>0</v>
      </c>
      <c r="I412" s="35">
        <f t="shared" si="17"/>
        <v>0</v>
      </c>
      <c r="J412" s="49"/>
    </row>
    <row r="413" spans="1:10" ht="11.25">
      <c r="A413" s="52" t="s">
        <v>172</v>
      </c>
      <c r="B413" s="55" t="s">
        <v>130</v>
      </c>
      <c r="C413" s="17" t="str">
        <f>VLOOKUP(A413,Uhikhinnad!$A$6:$F$156,2,FALSE)</f>
        <v>sademeveesurvetoru kruusateel, pinnaseteel või haljasalal</v>
      </c>
      <c r="D413" s="17" t="str">
        <f>VLOOKUP(A413,Uhikhinnad!$A$6:$F$156,3,FALSE)</f>
        <v>De63-De160</v>
      </c>
      <c r="E413" s="18" t="str">
        <f>VLOOKUP(A413,Uhikhinnad!$A$6:$F$156,4,FALSE)</f>
        <v>m</v>
      </c>
      <c r="F413" s="19">
        <v>0</v>
      </c>
      <c r="G413" s="18">
        <f>VLOOKUP(A413,Uhikhinnad!$A$6:$F$156,5,FALSE)</f>
        <v>120</v>
      </c>
      <c r="H413" s="18">
        <f>VLOOKUP(A413,Uhikhinnad!$A$6:$F$156,6,FALSE)</f>
        <v>0</v>
      </c>
      <c r="I413" s="35">
        <f t="shared" si="17"/>
        <v>0</v>
      </c>
      <c r="J413" s="49"/>
    </row>
    <row r="414" spans="1:10" ht="11.25">
      <c r="A414" s="52" t="s">
        <v>173</v>
      </c>
      <c r="B414" s="55" t="s">
        <v>130</v>
      </c>
      <c r="C414" s="17" t="str">
        <f>VLOOKUP(A414,Uhikhinnad!$A$6:$F$156,2,FALSE)</f>
        <v>sademeveesurvetoru kruusateel, pinnaseteel või haljasalal</v>
      </c>
      <c r="D414" s="17" t="str">
        <f>VLOOKUP(A414,Uhikhinnad!$A$6:$F$156,3,FALSE)</f>
        <v>De160-De315</v>
      </c>
      <c r="E414" s="18" t="str">
        <f>VLOOKUP(A414,Uhikhinnad!$A$6:$F$156,4,FALSE)</f>
        <v>m</v>
      </c>
      <c r="F414" s="19">
        <v>0</v>
      </c>
      <c r="G414" s="18">
        <f>VLOOKUP(A414,Uhikhinnad!$A$6:$F$156,5,FALSE)</f>
        <v>190</v>
      </c>
      <c r="H414" s="18">
        <f>VLOOKUP(A414,Uhikhinnad!$A$6:$F$156,6,FALSE)</f>
        <v>0</v>
      </c>
      <c r="I414" s="35">
        <f t="shared" si="17"/>
        <v>0</v>
      </c>
      <c r="J414" s="49"/>
    </row>
    <row r="415" spans="1:10" ht="11.25">
      <c r="A415" s="52">
        <v>503</v>
      </c>
      <c r="B415" s="55" t="s">
        <v>130</v>
      </c>
      <c r="C415" s="17" t="str">
        <f>VLOOKUP(A415,Uhikhinnad!$A$6:$F$156,2,FALSE)</f>
        <v>sademeveepumpla</v>
      </c>
      <c r="D415" s="17">
        <f>VLOOKUP(A415,Uhikhinnad!$A$6:$F$156,3,FALSE)</f>
        <v>0</v>
      </c>
      <c r="E415" s="18">
        <f>VLOOKUP(A415,Uhikhinnad!$A$6:$F$156,4,FALSE)</f>
        <v>0</v>
      </c>
      <c r="F415" s="19">
        <v>0</v>
      </c>
      <c r="G415" s="18">
        <f>VLOOKUP(A415,Uhikhinnad!$A$6:$F$156,5,FALSE)</f>
        <v>0</v>
      </c>
      <c r="H415" s="18">
        <f>VLOOKUP(A415,Uhikhinnad!$A$6:$F$156,6,FALSE)</f>
        <v>0</v>
      </c>
      <c r="I415" s="35">
        <f t="shared" si="17"/>
        <v>0</v>
      </c>
      <c r="J415" s="49"/>
    </row>
    <row r="416" spans="1:10" ht="11.25">
      <c r="A416" s="52" t="s">
        <v>176</v>
      </c>
      <c r="B416" s="55" t="s">
        <v>130</v>
      </c>
      <c r="C416" s="17" t="str">
        <f>VLOOKUP(A416,Uhikhinnad!$A$6:$F$156,2,FALSE)</f>
        <v>väike sademeveepumpla</v>
      </c>
      <c r="D416" s="17" t="str">
        <f>VLOOKUP(A416,Uhikhinnad!$A$6:$F$156,3,FALSE)</f>
        <v>Qarv ≤ 5 l/s</v>
      </c>
      <c r="E416" s="18" t="str">
        <f>VLOOKUP(A416,Uhikhinnad!$A$6:$F$156,4,FALSE)</f>
        <v>kmpl</v>
      </c>
      <c r="F416" s="19">
        <v>0</v>
      </c>
      <c r="G416" s="18">
        <f>VLOOKUP(A416,Uhikhinnad!$A$6:$F$156,5,FALSE)</f>
        <v>35000</v>
      </c>
      <c r="H416" s="18">
        <f>VLOOKUP(A416,Uhikhinnad!$A$6:$F$156,6,FALSE)</f>
        <v>0</v>
      </c>
      <c r="I416" s="35">
        <f t="shared" si="17"/>
        <v>0</v>
      </c>
      <c r="J416" s="49"/>
    </row>
    <row r="417" spans="1:10" ht="11.25">
      <c r="A417" s="52" t="s">
        <v>177</v>
      </c>
      <c r="B417" s="55" t="s">
        <v>130</v>
      </c>
      <c r="C417" s="17" t="str">
        <f>VLOOKUP(A417,Uhikhinnad!$A$6:$F$156,2,FALSE)</f>
        <v>keskmine  sademeveepumpla</v>
      </c>
      <c r="D417" s="17" t="str">
        <f>VLOOKUP(A417,Uhikhinnad!$A$6:$F$156,3,FALSE)</f>
        <v>Qarv 5 - 20 l/s</v>
      </c>
      <c r="E417" s="18" t="str">
        <f>VLOOKUP(A417,Uhikhinnad!$A$6:$F$156,4,FALSE)</f>
        <v>kmpl</v>
      </c>
      <c r="F417" s="19">
        <v>0</v>
      </c>
      <c r="G417" s="18">
        <f>VLOOKUP(A417,Uhikhinnad!$A$6:$F$156,5,FALSE)</f>
        <v>40000</v>
      </c>
      <c r="H417" s="18">
        <f>VLOOKUP(A417,Uhikhinnad!$A$6:$F$156,6,FALSE)</f>
        <v>0</v>
      </c>
      <c r="I417" s="35">
        <f t="shared" si="17"/>
        <v>0</v>
      </c>
      <c r="J417" s="49"/>
    </row>
    <row r="418" spans="1:10" ht="11.25">
      <c r="A418" s="52" t="s">
        <v>253</v>
      </c>
      <c r="B418" s="55" t="s">
        <v>130</v>
      </c>
      <c r="C418" s="17" t="str">
        <f>VLOOKUP(A418,Uhikhinnad!$A$6:$F$156,2,FALSE)</f>
        <v>suur  sademeveepumpla</v>
      </c>
      <c r="D418" s="17" t="str">
        <f>VLOOKUP(A418,Uhikhinnad!$A$6:$F$156,3,FALSE)</f>
        <v>Qarv ≥ 20 l/s</v>
      </c>
      <c r="E418" s="18" t="str">
        <f>VLOOKUP(A418,Uhikhinnad!$A$6:$F$156,4,FALSE)</f>
        <v>kmpl</v>
      </c>
      <c r="F418" s="19">
        <v>0</v>
      </c>
      <c r="G418" s="18">
        <f>VLOOKUP(A418,Uhikhinnad!$A$6:$F$156,5,FALSE)</f>
        <v>50000</v>
      </c>
      <c r="H418" s="18">
        <f>VLOOKUP(A418,Uhikhinnad!$A$6:$F$156,6,FALSE)</f>
        <v>0</v>
      </c>
      <c r="I418" s="35">
        <f t="shared" si="17"/>
        <v>0</v>
      </c>
      <c r="J418" s="49"/>
    </row>
    <row r="419" spans="1:10" ht="11.25">
      <c r="A419" s="52" t="s">
        <v>254</v>
      </c>
      <c r="B419" s="55" t="s">
        <v>130</v>
      </c>
      <c r="C419" s="17" t="str">
        <f>VLOOKUP(A419,Uhikhinnad!$A$6:$F$156,2,FALSE)</f>
        <v>erilahendusega  sademeveepumpla</v>
      </c>
      <c r="D419" s="17">
        <f>VLOOKUP(A419,Uhikhinnad!$A$6:$F$156,3,FALSE)</f>
        <v>0</v>
      </c>
      <c r="E419" s="18" t="str">
        <f>VLOOKUP(A419,Uhikhinnad!$A$6:$F$156,4,FALSE)</f>
        <v>kmpl</v>
      </c>
      <c r="F419" s="19">
        <v>0</v>
      </c>
      <c r="G419" s="18">
        <f>VLOOKUP(A419,Uhikhinnad!$A$6:$F$156,5,FALSE)</f>
        <v>0</v>
      </c>
      <c r="H419" s="18">
        <f>VLOOKUP(A419,Uhikhinnad!$A$6:$F$156,6,FALSE)</f>
        <v>0</v>
      </c>
      <c r="I419" s="35">
        <f t="shared" si="17"/>
        <v>0</v>
      </c>
      <c r="J419" s="49"/>
    </row>
    <row r="420" spans="1:10" ht="11.25">
      <c r="A420" s="52">
        <v>504</v>
      </c>
      <c r="B420" s="55" t="s">
        <v>130</v>
      </c>
      <c r="C420" s="17" t="str">
        <f>VLOOKUP(A420,Uhikhinnad!$A$6:$F$156,2,FALSE)</f>
        <v>majaühendus</v>
      </c>
      <c r="D420" s="17" t="str">
        <f>VLOOKUP(A420,Uhikhinnad!$A$6:$F$156,3,FALSE)</f>
        <v>Kontrollkaev De200, torustik ja otsakork</v>
      </c>
      <c r="E420" s="18" t="str">
        <f>VLOOKUP(A420,Uhikhinnad!$A$6:$F$156,4,FALSE)</f>
        <v>kmpl</v>
      </c>
      <c r="F420" s="19">
        <v>0</v>
      </c>
      <c r="G420" s="18">
        <f>VLOOKUP(A420,Uhikhinnad!$A$6:$F$156,5,FALSE)</f>
        <v>900</v>
      </c>
      <c r="H420" s="18">
        <f>VLOOKUP(A420,Uhikhinnad!$A$6:$F$156,6,FALSE)</f>
        <v>0</v>
      </c>
      <c r="I420" s="35">
        <f t="shared" si="17"/>
        <v>0</v>
      </c>
      <c r="J420" s="49"/>
    </row>
    <row r="421" spans="1:10" ht="11.25">
      <c r="A421" s="52">
        <v>505</v>
      </c>
      <c r="B421" s="55" t="s">
        <v>130</v>
      </c>
      <c r="C421" s="17" t="str">
        <f>VLOOKUP(A421,Uhikhinnad!$A$6:$F$156,2,FALSE)</f>
        <v>kraav</v>
      </c>
      <c r="D421" s="17">
        <f>VLOOKUP(A421,Uhikhinnad!$A$6:$F$156,3,FALSE)</f>
        <v>0</v>
      </c>
      <c r="E421" s="18" t="str">
        <f>VLOOKUP(A421,Uhikhinnad!$A$6:$F$156,4,FALSE)</f>
        <v>m</v>
      </c>
      <c r="F421" s="19">
        <v>0</v>
      </c>
      <c r="G421" s="18">
        <f>VLOOKUP(A421,Uhikhinnad!$A$6:$F$156,5,FALSE)</f>
        <v>100</v>
      </c>
      <c r="H421" s="18">
        <f>VLOOKUP(A421,Uhikhinnad!$A$6:$F$156,6,FALSE)</f>
        <v>0</v>
      </c>
      <c r="I421" s="35">
        <f t="shared" si="17"/>
        <v>0</v>
      </c>
      <c r="J421" s="49"/>
    </row>
    <row r="422" spans="1:10" ht="11.25">
      <c r="A422" s="52" t="s">
        <v>174</v>
      </c>
      <c r="B422" s="55" t="s">
        <v>130</v>
      </c>
      <c r="C422" s="17" t="str">
        <f>VLOOKUP(A422,Uhikhinnad!$A$6:$F$156,2,FALSE)</f>
        <v>kraavi rajamine </v>
      </c>
      <c r="D422" s="17">
        <f>VLOOKUP(A422,Uhikhinnad!$A$6:$F$156,3,FALSE)</f>
        <v>0</v>
      </c>
      <c r="E422" s="18" t="str">
        <f>VLOOKUP(A422,Uhikhinnad!$A$6:$F$156,4,FALSE)</f>
        <v>m</v>
      </c>
      <c r="F422" s="19">
        <v>0</v>
      </c>
      <c r="G422" s="18">
        <f>VLOOKUP(A422,Uhikhinnad!$A$6:$F$156,5,FALSE)</f>
        <v>200</v>
      </c>
      <c r="H422" s="18">
        <f>VLOOKUP(A422,Uhikhinnad!$A$6:$F$156,6,FALSE)</f>
        <v>0</v>
      </c>
      <c r="I422" s="35">
        <f t="shared" si="17"/>
        <v>0</v>
      </c>
      <c r="J422" s="49"/>
    </row>
    <row r="423" spans="1:10" ht="11.25">
      <c r="A423" s="52" t="s">
        <v>175</v>
      </c>
      <c r="B423" s="55" t="s">
        <v>130</v>
      </c>
      <c r="C423" s="17" t="str">
        <f>VLOOKUP(A423,Uhikhinnad!$A$6:$F$156,2,FALSE)</f>
        <v>kraavi puhastamine</v>
      </c>
      <c r="D423" s="17">
        <f>VLOOKUP(A423,Uhikhinnad!$A$6:$F$156,3,FALSE)</f>
        <v>0</v>
      </c>
      <c r="E423" s="18" t="str">
        <f>VLOOKUP(A423,Uhikhinnad!$A$6:$F$156,4,FALSE)</f>
        <v>m</v>
      </c>
      <c r="F423" s="19">
        <v>0</v>
      </c>
      <c r="G423" s="18">
        <f>VLOOKUP(A423,Uhikhinnad!$A$6:$F$156,5,FALSE)</f>
        <v>0</v>
      </c>
      <c r="H423" s="18">
        <f>VLOOKUP(A423,Uhikhinnad!$A$6:$F$156,6,FALSE)</f>
        <v>0</v>
      </c>
      <c r="I423" s="35">
        <f t="shared" si="17"/>
        <v>0</v>
      </c>
      <c r="J423" s="49"/>
    </row>
    <row r="424" spans="1:10" ht="11.25">
      <c r="A424" s="52">
        <v>506</v>
      </c>
      <c r="B424" s="55" t="s">
        <v>130</v>
      </c>
      <c r="C424" s="17" t="str">
        <f>VLOOKUP(A424,Uhikhinnad!$A$6:$F$156,2,FALSE)</f>
        <v>truup</v>
      </c>
      <c r="D424" s="17" t="str">
        <f>VLOOKUP(A424,Uhikhinnad!$A$6:$F$156,3,FALSE)</f>
        <v>betoon</v>
      </c>
      <c r="E424" s="18" t="str">
        <f>VLOOKUP(A424,Uhikhinnad!$A$6:$F$156,4,FALSE)</f>
        <v>m</v>
      </c>
      <c r="F424" s="19">
        <v>0</v>
      </c>
      <c r="G424" s="18">
        <f>VLOOKUP(A424,Uhikhinnad!$A$6:$F$156,5,FALSE)</f>
        <v>0</v>
      </c>
      <c r="H424" s="18">
        <f>VLOOKUP(A424,Uhikhinnad!$A$6:$F$156,6,FALSE)</f>
        <v>0</v>
      </c>
      <c r="I424" s="35">
        <f t="shared" si="17"/>
        <v>0</v>
      </c>
      <c r="J424" s="49"/>
    </row>
    <row r="425" spans="1:10" ht="11.25">
      <c r="A425" s="52" t="s">
        <v>264</v>
      </c>
      <c r="B425" s="55" t="s">
        <v>130</v>
      </c>
      <c r="C425" s="17" t="str">
        <f>VLOOKUP(A425,Uhikhinnad!$A$6:$F$156,2,FALSE)</f>
        <v>truup</v>
      </c>
      <c r="D425" s="17" t="str">
        <f>VLOOKUP(A425,Uhikhinnad!$A$6:$F$156,3,FALSE)</f>
        <v>plast</v>
      </c>
      <c r="E425" s="18" t="str">
        <f>VLOOKUP(A425,Uhikhinnad!$A$6:$F$156,4,FALSE)</f>
        <v>m</v>
      </c>
      <c r="F425" s="19">
        <v>0</v>
      </c>
      <c r="G425" s="18">
        <f>VLOOKUP(A425,Uhikhinnad!$A$6:$F$156,5,FALSE)</f>
        <v>0</v>
      </c>
      <c r="H425" s="18">
        <f>VLOOKUP(A425,Uhikhinnad!$A$6:$F$156,6,FALSE)</f>
        <v>0</v>
      </c>
      <c r="I425" s="35">
        <f t="shared" si="17"/>
        <v>0</v>
      </c>
      <c r="J425" s="49"/>
    </row>
    <row r="426" spans="1:10" ht="11.25">
      <c r="A426" s="52" t="s">
        <v>265</v>
      </c>
      <c r="B426" s="55" t="s">
        <v>130</v>
      </c>
      <c r="C426" s="17" t="str">
        <f>VLOOKUP(A426,Uhikhinnad!$A$6:$F$156,2,FALSE)</f>
        <v>truup</v>
      </c>
      <c r="D426" s="17">
        <f>VLOOKUP(A426,Uhikhinnad!$A$6:$F$156,3,FALSE)</f>
        <v>0</v>
      </c>
      <c r="E426" s="18" t="str">
        <f>VLOOKUP(A426,Uhikhinnad!$A$6:$F$156,4,FALSE)</f>
        <v>m</v>
      </c>
      <c r="F426" s="19">
        <v>0</v>
      </c>
      <c r="G426" s="18">
        <f>VLOOKUP(A426,Uhikhinnad!$A$6:$F$156,5,FALSE)</f>
        <v>0</v>
      </c>
      <c r="H426" s="18">
        <f>VLOOKUP(A426,Uhikhinnad!$A$6:$F$156,6,FALSE)</f>
        <v>0</v>
      </c>
      <c r="I426" s="35">
        <f t="shared" si="17"/>
        <v>0</v>
      </c>
      <c r="J426" s="49"/>
    </row>
    <row r="427" spans="1:10" ht="11.25">
      <c r="A427" s="52">
        <v>507</v>
      </c>
      <c r="B427" s="55" t="s">
        <v>130</v>
      </c>
      <c r="C427" s="17" t="str">
        <f>VLOOKUP(A427,Uhikhinnad!$A$6:$F$156,2,FALSE)</f>
        <v>sademevee restkaev</v>
      </c>
      <c r="D427" s="17" t="str">
        <f>VLOOKUP(A427,Uhikhinnad!$A$6:$F$156,3,FALSE)</f>
        <v>Liivapüüduriga kaev</v>
      </c>
      <c r="E427" s="18" t="str">
        <f>VLOOKUP(A427,Uhikhinnad!$A$6:$F$156,4,FALSE)</f>
        <v>tk</v>
      </c>
      <c r="F427" s="19">
        <v>0</v>
      </c>
      <c r="G427" s="18">
        <f>VLOOKUP(A427,Uhikhinnad!$A$6:$F$156,5,FALSE)</f>
        <v>1500</v>
      </c>
      <c r="H427" s="18">
        <f>VLOOKUP(A427,Uhikhinnad!$A$6:$F$156,6,FALSE)</f>
        <v>0</v>
      </c>
      <c r="I427" s="35">
        <f t="shared" si="17"/>
        <v>0</v>
      </c>
      <c r="J427" s="49"/>
    </row>
    <row r="428" spans="1:10" ht="11.25">
      <c r="A428" s="52">
        <v>508</v>
      </c>
      <c r="B428" s="55" t="s">
        <v>130</v>
      </c>
      <c r="C428" s="17" t="str">
        <f>VLOOKUP(A428,Uhikhinnad!$A$6:$F$156,2,FALSE)</f>
        <v>sademevee liivapüüdur</v>
      </c>
      <c r="D428" s="17">
        <f>VLOOKUP(A428,Uhikhinnad!$A$6:$F$156,3,FALSE)</f>
        <v>0</v>
      </c>
      <c r="E428" s="18">
        <f>VLOOKUP(A428,Uhikhinnad!$A$6:$F$156,4,FALSE)</f>
        <v>0</v>
      </c>
      <c r="F428" s="19">
        <v>0</v>
      </c>
      <c r="G428" s="18">
        <f>VLOOKUP(A428,Uhikhinnad!$A$6:$F$156,5,FALSE)</f>
        <v>0</v>
      </c>
      <c r="H428" s="18">
        <f>VLOOKUP(A428,Uhikhinnad!$A$6:$F$156,6,FALSE)</f>
        <v>0</v>
      </c>
      <c r="I428" s="35">
        <f t="shared" si="17"/>
        <v>0</v>
      </c>
      <c r="J428" s="49"/>
    </row>
    <row r="429" spans="1:10" ht="11.25">
      <c r="A429" s="52">
        <v>509</v>
      </c>
      <c r="B429" s="55" t="s">
        <v>130</v>
      </c>
      <c r="C429" s="17" t="str">
        <f>VLOOKUP(A429,Uhikhinnad!$A$6:$F$156,2,FALSE)</f>
        <v>sademevee õlipüüdur</v>
      </c>
      <c r="D429" s="17">
        <f>VLOOKUP(A429,Uhikhinnad!$A$6:$F$156,3,FALSE)</f>
        <v>0</v>
      </c>
      <c r="E429" s="18">
        <f>VLOOKUP(A429,Uhikhinnad!$A$6:$F$156,4,FALSE)</f>
        <v>0</v>
      </c>
      <c r="F429" s="19">
        <v>0</v>
      </c>
      <c r="G429" s="18">
        <f>VLOOKUP(A429,Uhikhinnad!$A$6:$F$156,5,FALSE)</f>
        <v>0</v>
      </c>
      <c r="H429" s="18">
        <f>VLOOKUP(A429,Uhikhinnad!$A$6:$F$156,6,FALSE)</f>
        <v>0</v>
      </c>
      <c r="I429" s="35">
        <f t="shared" si="17"/>
        <v>0</v>
      </c>
      <c r="J429" s="49"/>
    </row>
    <row r="430" spans="3:10" ht="11.25" customHeight="1">
      <c r="C430" s="54"/>
      <c r="D430" s="30"/>
      <c r="E430" s="30"/>
      <c r="F430" s="30"/>
      <c r="G430" s="30"/>
      <c r="H430" s="30"/>
      <c r="I430" s="41"/>
      <c r="J430" s="30"/>
    </row>
    <row r="431" spans="3:10" ht="11.25" customHeight="1">
      <c r="C431" s="94" t="s">
        <v>98</v>
      </c>
      <c r="D431" s="30"/>
      <c r="E431" s="30"/>
      <c r="F431" s="30"/>
      <c r="G431" s="30"/>
      <c r="H431" s="30"/>
      <c r="I431" s="62">
        <f>SUM(I432:I460)</f>
        <v>0</v>
      </c>
      <c r="J431" s="30"/>
    </row>
    <row r="432" spans="1:10" ht="11.25">
      <c r="A432" s="52">
        <v>501</v>
      </c>
      <c r="B432" s="55" t="s">
        <v>129</v>
      </c>
      <c r="C432" s="17" t="str">
        <f>VLOOKUP(A432,Uhikhinnad!$A$6:$F$156,2,FALSE)</f>
        <v>isevoolne sademeveetoru</v>
      </c>
      <c r="D432" s="17">
        <f>VLOOKUP(A432,Uhikhinnad!$A$6:$F$156,3,FALSE)</f>
        <v>0</v>
      </c>
      <c r="E432" s="18">
        <f>VLOOKUP(A432,Uhikhinnad!$A$6:$F$156,4,FALSE)</f>
        <v>0</v>
      </c>
      <c r="F432" s="19">
        <v>0</v>
      </c>
      <c r="G432" s="18">
        <f>VLOOKUP(A432,Uhikhinnad!$A$6:$F$156,5,FALSE)</f>
        <v>0</v>
      </c>
      <c r="H432" s="18">
        <f>VLOOKUP(A432,Uhikhinnad!$A$6:$F$156,6,FALSE)</f>
        <v>0</v>
      </c>
      <c r="I432" s="35">
        <f aca="true" t="shared" si="18" ref="I432:I460">F432*G432+H432</f>
        <v>0</v>
      </c>
      <c r="J432" s="49"/>
    </row>
    <row r="433" spans="1:10" ht="11.25">
      <c r="A433" s="52" t="s">
        <v>166</v>
      </c>
      <c r="B433" s="55" t="s">
        <v>129</v>
      </c>
      <c r="C433" s="17" t="str">
        <f>VLOOKUP(A433,Uhikhinnad!$A$6:$F$156,2,FALSE)</f>
        <v>isevoolne sademeveetoru kõvakattega alal </v>
      </c>
      <c r="D433" s="17" t="str">
        <f>VLOOKUP(A433,Uhikhinnad!$A$6:$F$156,3,FALSE)</f>
        <v>De160-De315</v>
      </c>
      <c r="E433" s="18" t="str">
        <f>VLOOKUP(A433,Uhikhinnad!$A$6:$F$156,4,FALSE)</f>
        <v>m</v>
      </c>
      <c r="F433" s="19">
        <v>0</v>
      </c>
      <c r="G433" s="18">
        <f>VLOOKUP(A433,Uhikhinnad!$A$6:$F$156,5,FALSE)</f>
        <v>210</v>
      </c>
      <c r="H433" s="18">
        <f>VLOOKUP(A433,Uhikhinnad!$A$6:$F$156,6,FALSE)</f>
        <v>0</v>
      </c>
      <c r="I433" s="35">
        <f t="shared" si="18"/>
        <v>0</v>
      </c>
      <c r="J433" s="49"/>
    </row>
    <row r="434" spans="1:10" ht="11.25">
      <c r="A434" s="52" t="s">
        <v>167</v>
      </c>
      <c r="B434" s="55" t="s">
        <v>129</v>
      </c>
      <c r="C434" s="17" t="str">
        <f>VLOOKUP(A434,Uhikhinnad!$A$6:$F$156,2,FALSE)</f>
        <v>isevoolne sademeveetoru kõvakattega alal </v>
      </c>
      <c r="D434" s="17" t="str">
        <f>VLOOKUP(A434,Uhikhinnad!$A$6:$F$156,3,FALSE)</f>
        <v>De400-De630</v>
      </c>
      <c r="E434" s="18" t="str">
        <f>VLOOKUP(A434,Uhikhinnad!$A$6:$F$156,4,FALSE)</f>
        <v>m</v>
      </c>
      <c r="F434" s="19">
        <v>0</v>
      </c>
      <c r="G434" s="18">
        <f>VLOOKUP(A434,Uhikhinnad!$A$6:$F$156,5,FALSE)</f>
        <v>300</v>
      </c>
      <c r="H434" s="18">
        <f>VLOOKUP(A434,Uhikhinnad!$A$6:$F$156,6,FALSE)</f>
        <v>0</v>
      </c>
      <c r="I434" s="35">
        <f t="shared" si="18"/>
        <v>0</v>
      </c>
      <c r="J434" s="49"/>
    </row>
    <row r="435" spans="1:10" ht="11.25">
      <c r="A435" s="52" t="s">
        <v>168</v>
      </c>
      <c r="B435" s="55" t="s">
        <v>129</v>
      </c>
      <c r="C435" s="17" t="str">
        <f>VLOOKUP(A435,Uhikhinnad!$A$6:$F$156,2,FALSE)</f>
        <v>isevoolne sademeveetoru kõvakattega alal </v>
      </c>
      <c r="D435" s="17" t="str">
        <f>VLOOKUP(A435,Uhikhinnad!$A$6:$F$156,3,FALSE)</f>
        <v>De630</v>
      </c>
      <c r="E435" s="18" t="str">
        <f>VLOOKUP(A435,Uhikhinnad!$A$6:$F$156,4,FALSE)</f>
        <v>m</v>
      </c>
      <c r="F435" s="19">
        <v>0</v>
      </c>
      <c r="G435" s="18">
        <f>VLOOKUP(A435,Uhikhinnad!$A$6:$F$156,5,FALSE)</f>
        <v>0</v>
      </c>
      <c r="H435" s="18">
        <f>VLOOKUP(A435,Uhikhinnad!$A$6:$F$156,6,FALSE)</f>
        <v>0</v>
      </c>
      <c r="I435" s="35">
        <f t="shared" si="18"/>
        <v>0</v>
      </c>
      <c r="J435" s="49"/>
    </row>
    <row r="436" spans="1:10" ht="11.25">
      <c r="A436" s="52" t="s">
        <v>169</v>
      </c>
      <c r="B436" s="55" t="s">
        <v>129</v>
      </c>
      <c r="C436" s="17" t="str">
        <f>VLOOKUP(A436,Uhikhinnad!$A$6:$F$156,2,FALSE)</f>
        <v>isevoolne sademeveetoru kõvakattega alal </v>
      </c>
      <c r="D436" s="17" t="str">
        <f>VLOOKUP(A436,Uhikhinnad!$A$6:$F$156,3,FALSE)</f>
        <v>De800-De1000</v>
      </c>
      <c r="E436" s="18" t="str">
        <f>VLOOKUP(A436,Uhikhinnad!$A$6:$F$156,4,FALSE)</f>
        <v>m</v>
      </c>
      <c r="F436" s="19">
        <v>0</v>
      </c>
      <c r="G436" s="18">
        <f>VLOOKUP(A436,Uhikhinnad!$A$6:$F$156,5,FALSE)</f>
        <v>1000</v>
      </c>
      <c r="H436" s="18">
        <f>VLOOKUP(A436,Uhikhinnad!$A$6:$F$156,6,FALSE)</f>
        <v>0</v>
      </c>
      <c r="I436" s="35">
        <f t="shared" si="18"/>
        <v>0</v>
      </c>
      <c r="J436" s="49"/>
    </row>
    <row r="437" spans="1:10" ht="11.25">
      <c r="A437" s="52" t="s">
        <v>247</v>
      </c>
      <c r="B437" s="55" t="s">
        <v>129</v>
      </c>
      <c r="C437" s="17" t="str">
        <f>VLOOKUP(A437,Uhikhinnad!$A$6:$F$156,2,FALSE)</f>
        <v>isevoolne sademeveetoru kruusateel, pinnaseteel või haljasalal</v>
      </c>
      <c r="D437" s="17" t="str">
        <f>VLOOKUP(A437,Uhikhinnad!$A$6:$F$156,3,FALSE)</f>
        <v>De160-De315</v>
      </c>
      <c r="E437" s="18" t="str">
        <f>VLOOKUP(A437,Uhikhinnad!$A$6:$F$156,4,FALSE)</f>
        <v>m</v>
      </c>
      <c r="F437" s="19">
        <v>0</v>
      </c>
      <c r="G437" s="18">
        <f>VLOOKUP(A437,Uhikhinnad!$A$6:$F$156,5,FALSE)</f>
        <v>200</v>
      </c>
      <c r="H437" s="18">
        <f>VLOOKUP(A437,Uhikhinnad!$A$6:$F$156,6,FALSE)</f>
        <v>0</v>
      </c>
      <c r="I437" s="35">
        <f t="shared" si="18"/>
        <v>0</v>
      </c>
      <c r="J437" s="49"/>
    </row>
    <row r="438" spans="1:10" ht="11.25">
      <c r="A438" s="52" t="s">
        <v>248</v>
      </c>
      <c r="B438" s="55" t="s">
        <v>129</v>
      </c>
      <c r="C438" s="17" t="str">
        <f>VLOOKUP(A438,Uhikhinnad!$A$6:$F$156,2,FALSE)</f>
        <v>isevoolne sademeveetoru kruusateel, pinnaseteel või haljasalal</v>
      </c>
      <c r="D438" s="17" t="str">
        <f>VLOOKUP(A438,Uhikhinnad!$A$6:$F$156,3,FALSE)</f>
        <v>De400-De630</v>
      </c>
      <c r="E438" s="18" t="str">
        <f>VLOOKUP(A438,Uhikhinnad!$A$6:$F$156,4,FALSE)</f>
        <v>m</v>
      </c>
      <c r="F438" s="19">
        <v>0</v>
      </c>
      <c r="G438" s="18">
        <f>VLOOKUP(A438,Uhikhinnad!$A$6:$F$156,5,FALSE)</f>
        <v>240</v>
      </c>
      <c r="H438" s="18">
        <f>VLOOKUP(A438,Uhikhinnad!$A$6:$F$156,6,FALSE)</f>
        <v>0</v>
      </c>
      <c r="I438" s="35">
        <f t="shared" si="18"/>
        <v>0</v>
      </c>
      <c r="J438" s="49"/>
    </row>
    <row r="439" spans="1:10" ht="11.25">
      <c r="A439" s="52" t="s">
        <v>249</v>
      </c>
      <c r="B439" s="55" t="s">
        <v>129</v>
      </c>
      <c r="C439" s="17" t="str">
        <f>VLOOKUP(A439,Uhikhinnad!$A$6:$F$156,2,FALSE)</f>
        <v>isevoolne sademeveetoru kruusateel, pinnaseteel või haljasalal</v>
      </c>
      <c r="D439" s="17" t="str">
        <f>VLOOKUP(A439,Uhikhinnad!$A$6:$F$156,3,FALSE)</f>
        <v>De630</v>
      </c>
      <c r="E439" s="18" t="str">
        <f>VLOOKUP(A439,Uhikhinnad!$A$6:$F$156,4,FALSE)</f>
        <v>m</v>
      </c>
      <c r="F439" s="19">
        <v>0</v>
      </c>
      <c r="G439" s="18">
        <f>VLOOKUP(A439,Uhikhinnad!$A$6:$F$156,5,FALSE)</f>
        <v>550</v>
      </c>
      <c r="H439" s="18">
        <f>VLOOKUP(A439,Uhikhinnad!$A$6:$F$156,6,FALSE)</f>
        <v>0</v>
      </c>
      <c r="I439" s="35">
        <f t="shared" si="18"/>
        <v>0</v>
      </c>
      <c r="J439" s="49"/>
    </row>
    <row r="440" spans="1:10" ht="11.25">
      <c r="A440" s="52" t="s">
        <v>250</v>
      </c>
      <c r="B440" s="55" t="s">
        <v>129</v>
      </c>
      <c r="C440" s="17" t="str">
        <f>VLOOKUP(A440,Uhikhinnad!$A$6:$F$156,2,FALSE)</f>
        <v>isevoolne sademeveetoru kruusateel, pinnaseteel või haljasalal</v>
      </c>
      <c r="D440" s="17" t="str">
        <f>VLOOKUP(A440,Uhikhinnad!$A$6:$F$156,3,FALSE)</f>
        <v>De800-De1000</v>
      </c>
      <c r="E440" s="18" t="str">
        <f>VLOOKUP(A440,Uhikhinnad!$A$6:$F$156,4,FALSE)</f>
        <v>m</v>
      </c>
      <c r="F440" s="19">
        <v>0</v>
      </c>
      <c r="G440" s="18">
        <f>VLOOKUP(A440,Uhikhinnad!$A$6:$F$156,5,FALSE)</f>
        <v>750</v>
      </c>
      <c r="H440" s="18">
        <f>VLOOKUP(A440,Uhikhinnad!$A$6:$F$156,6,FALSE)</f>
        <v>0</v>
      </c>
      <c r="I440" s="35">
        <f t="shared" si="18"/>
        <v>0</v>
      </c>
      <c r="J440" s="49"/>
    </row>
    <row r="441" spans="1:10" ht="11.25">
      <c r="A441" s="52">
        <v>502</v>
      </c>
      <c r="B441" s="55" t="s">
        <v>129</v>
      </c>
      <c r="C441" s="17" t="str">
        <f>VLOOKUP(A441,Uhikhinnad!$A$6:$F$156,2,FALSE)</f>
        <v>sademeveesurvetoru</v>
      </c>
      <c r="D441" s="17">
        <f>VLOOKUP(A441,Uhikhinnad!$A$6:$F$156,3,FALSE)</f>
        <v>0</v>
      </c>
      <c r="E441" s="18">
        <f>VLOOKUP(A441,Uhikhinnad!$A$6:$F$156,4,FALSE)</f>
        <v>0</v>
      </c>
      <c r="F441" s="19">
        <v>0</v>
      </c>
      <c r="G441" s="18">
        <f>VLOOKUP(A441,Uhikhinnad!$A$6:$F$156,5,FALSE)</f>
        <v>0</v>
      </c>
      <c r="H441" s="18">
        <f>VLOOKUP(A441,Uhikhinnad!$A$6:$F$156,6,FALSE)</f>
        <v>0</v>
      </c>
      <c r="I441" s="35">
        <f t="shared" si="18"/>
        <v>0</v>
      </c>
      <c r="J441" s="49"/>
    </row>
    <row r="442" spans="1:10" ht="11.25">
      <c r="A442" s="52" t="s">
        <v>170</v>
      </c>
      <c r="B442" s="55" t="s">
        <v>129</v>
      </c>
      <c r="C442" s="17" t="str">
        <f>VLOOKUP(A442,Uhikhinnad!$A$6:$F$156,2,FALSE)</f>
        <v>sademeveesurvetoru kõvakattega alal</v>
      </c>
      <c r="D442" s="17" t="str">
        <f>VLOOKUP(A442,Uhikhinnad!$A$6:$F$156,3,FALSE)</f>
        <v>De63-De110</v>
      </c>
      <c r="E442" s="18" t="str">
        <f>VLOOKUP(A442,Uhikhinnad!$A$6:$F$156,4,FALSE)</f>
        <v>m</v>
      </c>
      <c r="F442" s="19">
        <v>0</v>
      </c>
      <c r="G442" s="18">
        <f>VLOOKUP(A442,Uhikhinnad!$A$6:$F$156,5,FALSE)</f>
        <v>120</v>
      </c>
      <c r="H442" s="18">
        <f>VLOOKUP(A442,Uhikhinnad!$A$6:$F$156,6,FALSE)</f>
        <v>0</v>
      </c>
      <c r="I442" s="35">
        <f t="shared" si="18"/>
        <v>0</v>
      </c>
      <c r="J442" s="49"/>
    </row>
    <row r="443" spans="1:10" ht="11.25">
      <c r="A443" s="52" t="s">
        <v>171</v>
      </c>
      <c r="B443" s="55" t="s">
        <v>129</v>
      </c>
      <c r="C443" s="17" t="str">
        <f>VLOOKUP(A443,Uhikhinnad!$A$6:$F$156,2,FALSE)</f>
        <v>sademeveesurvetoru kõvakattega alal</v>
      </c>
      <c r="D443" s="17" t="str">
        <f>VLOOKUP(A443,Uhikhinnad!$A$6:$F$156,3,FALSE)</f>
        <v>De160-De315</v>
      </c>
      <c r="E443" s="18" t="str">
        <f>VLOOKUP(A443,Uhikhinnad!$A$6:$F$156,4,FALSE)</f>
        <v>m</v>
      </c>
      <c r="F443" s="19">
        <v>0</v>
      </c>
      <c r="G443" s="18">
        <f>VLOOKUP(A443,Uhikhinnad!$A$6:$F$156,5,FALSE)</f>
        <v>200</v>
      </c>
      <c r="H443" s="18">
        <f>VLOOKUP(A443,Uhikhinnad!$A$6:$F$156,6,FALSE)</f>
        <v>0</v>
      </c>
      <c r="I443" s="35">
        <f t="shared" si="18"/>
        <v>0</v>
      </c>
      <c r="J443" s="49"/>
    </row>
    <row r="444" spans="1:10" ht="11.25">
      <c r="A444" s="52" t="s">
        <v>172</v>
      </c>
      <c r="B444" s="55" t="s">
        <v>129</v>
      </c>
      <c r="C444" s="17" t="str">
        <f>VLOOKUP(A444,Uhikhinnad!$A$6:$F$156,2,FALSE)</f>
        <v>sademeveesurvetoru kruusateel, pinnaseteel või haljasalal</v>
      </c>
      <c r="D444" s="17" t="str">
        <f>VLOOKUP(A444,Uhikhinnad!$A$6:$F$156,3,FALSE)</f>
        <v>De63-De160</v>
      </c>
      <c r="E444" s="18" t="str">
        <f>VLOOKUP(A444,Uhikhinnad!$A$6:$F$156,4,FALSE)</f>
        <v>m</v>
      </c>
      <c r="F444" s="19">
        <v>0</v>
      </c>
      <c r="G444" s="18">
        <f>VLOOKUP(A444,Uhikhinnad!$A$6:$F$156,5,FALSE)</f>
        <v>120</v>
      </c>
      <c r="H444" s="18">
        <f>VLOOKUP(A444,Uhikhinnad!$A$6:$F$156,6,FALSE)</f>
        <v>0</v>
      </c>
      <c r="I444" s="35">
        <f t="shared" si="18"/>
        <v>0</v>
      </c>
      <c r="J444" s="49"/>
    </row>
    <row r="445" spans="1:10" ht="11.25">
      <c r="A445" s="52" t="s">
        <v>173</v>
      </c>
      <c r="B445" s="55" t="s">
        <v>129</v>
      </c>
      <c r="C445" s="17" t="str">
        <f>VLOOKUP(A445,Uhikhinnad!$A$6:$F$156,2,FALSE)</f>
        <v>sademeveesurvetoru kruusateel, pinnaseteel või haljasalal</v>
      </c>
      <c r="D445" s="17" t="str">
        <f>VLOOKUP(A445,Uhikhinnad!$A$6:$F$156,3,FALSE)</f>
        <v>De160-De315</v>
      </c>
      <c r="E445" s="18" t="str">
        <f>VLOOKUP(A445,Uhikhinnad!$A$6:$F$156,4,FALSE)</f>
        <v>m</v>
      </c>
      <c r="F445" s="19">
        <v>0</v>
      </c>
      <c r="G445" s="18">
        <f>VLOOKUP(A445,Uhikhinnad!$A$6:$F$156,5,FALSE)</f>
        <v>190</v>
      </c>
      <c r="H445" s="18">
        <f>VLOOKUP(A445,Uhikhinnad!$A$6:$F$156,6,FALSE)</f>
        <v>0</v>
      </c>
      <c r="I445" s="35">
        <f t="shared" si="18"/>
        <v>0</v>
      </c>
      <c r="J445" s="49"/>
    </row>
    <row r="446" spans="1:10" ht="11.25">
      <c r="A446" s="52">
        <v>503</v>
      </c>
      <c r="B446" s="55" t="s">
        <v>129</v>
      </c>
      <c r="C446" s="17" t="str">
        <f>VLOOKUP(A446,Uhikhinnad!$A$6:$F$156,2,FALSE)</f>
        <v>sademeveepumpla</v>
      </c>
      <c r="D446" s="17">
        <f>VLOOKUP(A446,Uhikhinnad!$A$6:$F$156,3,FALSE)</f>
        <v>0</v>
      </c>
      <c r="E446" s="18">
        <f>VLOOKUP(A446,Uhikhinnad!$A$6:$F$156,4,FALSE)</f>
        <v>0</v>
      </c>
      <c r="F446" s="19">
        <v>0</v>
      </c>
      <c r="G446" s="18">
        <f>VLOOKUP(A446,Uhikhinnad!$A$6:$F$156,5,FALSE)</f>
        <v>0</v>
      </c>
      <c r="H446" s="18">
        <f>VLOOKUP(A446,Uhikhinnad!$A$6:$F$156,6,FALSE)</f>
        <v>0</v>
      </c>
      <c r="I446" s="35">
        <f t="shared" si="18"/>
        <v>0</v>
      </c>
      <c r="J446" s="49"/>
    </row>
    <row r="447" spans="1:10" ht="11.25">
      <c r="A447" s="52" t="s">
        <v>176</v>
      </c>
      <c r="B447" s="55" t="s">
        <v>129</v>
      </c>
      <c r="C447" s="17" t="str">
        <f>VLOOKUP(A447,Uhikhinnad!$A$6:$F$156,2,FALSE)</f>
        <v>väike sademeveepumpla</v>
      </c>
      <c r="D447" s="17" t="str">
        <f>VLOOKUP(A447,Uhikhinnad!$A$6:$F$156,3,FALSE)</f>
        <v>Qarv ≤ 5 l/s</v>
      </c>
      <c r="E447" s="18" t="str">
        <f>VLOOKUP(A447,Uhikhinnad!$A$6:$F$156,4,FALSE)</f>
        <v>kmpl</v>
      </c>
      <c r="F447" s="19">
        <v>0</v>
      </c>
      <c r="G447" s="18">
        <f>VLOOKUP(A447,Uhikhinnad!$A$6:$F$156,5,FALSE)</f>
        <v>35000</v>
      </c>
      <c r="H447" s="18">
        <f>VLOOKUP(A447,Uhikhinnad!$A$6:$F$156,6,FALSE)</f>
        <v>0</v>
      </c>
      <c r="I447" s="35">
        <f t="shared" si="18"/>
        <v>0</v>
      </c>
      <c r="J447" s="49"/>
    </row>
    <row r="448" spans="1:10" ht="11.25">
      <c r="A448" s="52" t="s">
        <v>177</v>
      </c>
      <c r="B448" s="55" t="s">
        <v>129</v>
      </c>
      <c r="C448" s="17" t="str">
        <f>VLOOKUP(A448,Uhikhinnad!$A$6:$F$156,2,FALSE)</f>
        <v>keskmine  sademeveepumpla</v>
      </c>
      <c r="D448" s="17" t="str">
        <f>VLOOKUP(A448,Uhikhinnad!$A$6:$F$156,3,FALSE)</f>
        <v>Qarv 5 - 20 l/s</v>
      </c>
      <c r="E448" s="18" t="str">
        <f>VLOOKUP(A448,Uhikhinnad!$A$6:$F$156,4,FALSE)</f>
        <v>kmpl</v>
      </c>
      <c r="F448" s="19">
        <v>0</v>
      </c>
      <c r="G448" s="18">
        <f>VLOOKUP(A448,Uhikhinnad!$A$6:$F$156,5,FALSE)</f>
        <v>40000</v>
      </c>
      <c r="H448" s="18">
        <f>VLOOKUP(A448,Uhikhinnad!$A$6:$F$156,6,FALSE)</f>
        <v>0</v>
      </c>
      <c r="I448" s="35">
        <f t="shared" si="18"/>
        <v>0</v>
      </c>
      <c r="J448" s="49"/>
    </row>
    <row r="449" spans="1:10" ht="11.25">
      <c r="A449" s="52" t="s">
        <v>253</v>
      </c>
      <c r="B449" s="55" t="s">
        <v>129</v>
      </c>
      <c r="C449" s="17" t="str">
        <f>VLOOKUP(A449,Uhikhinnad!$A$6:$F$156,2,FALSE)</f>
        <v>suur  sademeveepumpla</v>
      </c>
      <c r="D449" s="17" t="str">
        <f>VLOOKUP(A449,Uhikhinnad!$A$6:$F$156,3,FALSE)</f>
        <v>Qarv ≥ 20 l/s</v>
      </c>
      <c r="E449" s="18" t="str">
        <f>VLOOKUP(A449,Uhikhinnad!$A$6:$F$156,4,FALSE)</f>
        <v>kmpl</v>
      </c>
      <c r="F449" s="19">
        <v>0</v>
      </c>
      <c r="G449" s="18">
        <f>VLOOKUP(A449,Uhikhinnad!$A$6:$F$156,5,FALSE)</f>
        <v>50000</v>
      </c>
      <c r="H449" s="18">
        <f>VLOOKUP(A449,Uhikhinnad!$A$6:$F$156,6,FALSE)</f>
        <v>0</v>
      </c>
      <c r="I449" s="35">
        <f t="shared" si="18"/>
        <v>0</v>
      </c>
      <c r="J449" s="49"/>
    </row>
    <row r="450" spans="1:10" ht="11.25">
      <c r="A450" s="52" t="s">
        <v>254</v>
      </c>
      <c r="B450" s="55" t="s">
        <v>129</v>
      </c>
      <c r="C450" s="17" t="str">
        <f>VLOOKUP(A450,Uhikhinnad!$A$6:$F$156,2,FALSE)</f>
        <v>erilahendusega  sademeveepumpla</v>
      </c>
      <c r="D450" s="17">
        <f>VLOOKUP(A450,Uhikhinnad!$A$6:$F$156,3,FALSE)</f>
        <v>0</v>
      </c>
      <c r="E450" s="18" t="str">
        <f>VLOOKUP(A450,Uhikhinnad!$A$6:$F$156,4,FALSE)</f>
        <v>kmpl</v>
      </c>
      <c r="F450" s="19">
        <v>0</v>
      </c>
      <c r="G450" s="18">
        <f>VLOOKUP(A450,Uhikhinnad!$A$6:$F$156,5,FALSE)</f>
        <v>0</v>
      </c>
      <c r="H450" s="18">
        <f>VLOOKUP(A450,Uhikhinnad!$A$6:$F$156,6,FALSE)</f>
        <v>0</v>
      </c>
      <c r="I450" s="35">
        <f t="shared" si="18"/>
        <v>0</v>
      </c>
      <c r="J450" s="49"/>
    </row>
    <row r="451" spans="1:10" ht="11.25">
      <c r="A451" s="52">
        <v>504</v>
      </c>
      <c r="B451" s="55" t="s">
        <v>129</v>
      </c>
      <c r="C451" s="17" t="str">
        <f>VLOOKUP(A451,Uhikhinnad!$A$6:$F$156,2,FALSE)</f>
        <v>majaühendus</v>
      </c>
      <c r="D451" s="17" t="str">
        <f>VLOOKUP(A451,Uhikhinnad!$A$6:$F$156,3,FALSE)</f>
        <v>Kontrollkaev De200, torustik ja otsakork</v>
      </c>
      <c r="E451" s="18" t="str">
        <f>VLOOKUP(A451,Uhikhinnad!$A$6:$F$156,4,FALSE)</f>
        <v>kmpl</v>
      </c>
      <c r="F451" s="19">
        <v>0</v>
      </c>
      <c r="G451" s="18">
        <f>VLOOKUP(A451,Uhikhinnad!$A$6:$F$156,5,FALSE)</f>
        <v>900</v>
      </c>
      <c r="H451" s="18">
        <f>VLOOKUP(A451,Uhikhinnad!$A$6:$F$156,6,FALSE)</f>
        <v>0</v>
      </c>
      <c r="I451" s="35">
        <f t="shared" si="18"/>
        <v>0</v>
      </c>
      <c r="J451" s="49"/>
    </row>
    <row r="452" spans="1:10" ht="11.25">
      <c r="A452" s="52">
        <v>505</v>
      </c>
      <c r="B452" s="55" t="s">
        <v>129</v>
      </c>
      <c r="C452" s="17" t="str">
        <f>VLOOKUP(A452,Uhikhinnad!$A$6:$F$156,2,FALSE)</f>
        <v>kraav</v>
      </c>
      <c r="D452" s="17">
        <f>VLOOKUP(A452,Uhikhinnad!$A$6:$F$156,3,FALSE)</f>
        <v>0</v>
      </c>
      <c r="E452" s="18" t="str">
        <f>VLOOKUP(A452,Uhikhinnad!$A$6:$F$156,4,FALSE)</f>
        <v>m</v>
      </c>
      <c r="F452" s="19">
        <v>0</v>
      </c>
      <c r="G452" s="18">
        <f>VLOOKUP(A452,Uhikhinnad!$A$6:$F$156,5,FALSE)</f>
        <v>100</v>
      </c>
      <c r="H452" s="18">
        <f>VLOOKUP(A452,Uhikhinnad!$A$6:$F$156,6,FALSE)</f>
        <v>0</v>
      </c>
      <c r="I452" s="35">
        <f t="shared" si="18"/>
        <v>0</v>
      </c>
      <c r="J452" s="49"/>
    </row>
    <row r="453" spans="1:10" ht="11.25">
      <c r="A453" s="52" t="s">
        <v>174</v>
      </c>
      <c r="B453" s="55" t="s">
        <v>129</v>
      </c>
      <c r="C453" s="17" t="str">
        <f>VLOOKUP(A453,Uhikhinnad!$A$6:$F$156,2,FALSE)</f>
        <v>kraavi rajamine </v>
      </c>
      <c r="D453" s="17">
        <f>VLOOKUP(A453,Uhikhinnad!$A$6:$F$156,3,FALSE)</f>
        <v>0</v>
      </c>
      <c r="E453" s="18" t="str">
        <f>VLOOKUP(A453,Uhikhinnad!$A$6:$F$156,4,FALSE)</f>
        <v>m</v>
      </c>
      <c r="F453" s="19">
        <v>0</v>
      </c>
      <c r="G453" s="18">
        <f>VLOOKUP(A453,Uhikhinnad!$A$6:$F$156,5,FALSE)</f>
        <v>200</v>
      </c>
      <c r="H453" s="18">
        <f>VLOOKUP(A453,Uhikhinnad!$A$6:$F$156,6,FALSE)</f>
        <v>0</v>
      </c>
      <c r="I453" s="35">
        <f t="shared" si="18"/>
        <v>0</v>
      </c>
      <c r="J453" s="49"/>
    </row>
    <row r="454" spans="1:10" ht="11.25">
      <c r="A454" s="52" t="s">
        <v>175</v>
      </c>
      <c r="B454" s="55" t="s">
        <v>129</v>
      </c>
      <c r="C454" s="17" t="str">
        <f>VLOOKUP(A454,Uhikhinnad!$A$6:$F$156,2,FALSE)</f>
        <v>kraavi puhastamine</v>
      </c>
      <c r="D454" s="17">
        <f>VLOOKUP(A454,Uhikhinnad!$A$6:$F$156,3,FALSE)</f>
        <v>0</v>
      </c>
      <c r="E454" s="18" t="str">
        <f>VLOOKUP(A454,Uhikhinnad!$A$6:$F$156,4,FALSE)</f>
        <v>m</v>
      </c>
      <c r="F454" s="19">
        <v>0</v>
      </c>
      <c r="G454" s="18">
        <f>VLOOKUP(A454,Uhikhinnad!$A$6:$F$156,5,FALSE)</f>
        <v>0</v>
      </c>
      <c r="H454" s="18">
        <f>VLOOKUP(A454,Uhikhinnad!$A$6:$F$156,6,FALSE)</f>
        <v>0</v>
      </c>
      <c r="I454" s="35">
        <f t="shared" si="18"/>
        <v>0</v>
      </c>
      <c r="J454" s="49"/>
    </row>
    <row r="455" spans="1:10" ht="11.25">
      <c r="A455" s="52">
        <v>506</v>
      </c>
      <c r="B455" s="55" t="s">
        <v>129</v>
      </c>
      <c r="C455" s="17" t="str">
        <f>VLOOKUP(A455,Uhikhinnad!$A$6:$F$156,2,FALSE)</f>
        <v>truup</v>
      </c>
      <c r="D455" s="17" t="str">
        <f>VLOOKUP(A455,Uhikhinnad!$A$6:$F$156,3,FALSE)</f>
        <v>betoon</v>
      </c>
      <c r="E455" s="18" t="str">
        <f>VLOOKUP(A455,Uhikhinnad!$A$6:$F$156,4,FALSE)</f>
        <v>m</v>
      </c>
      <c r="F455" s="19">
        <v>0</v>
      </c>
      <c r="G455" s="18">
        <f>VLOOKUP(A455,Uhikhinnad!$A$6:$F$156,5,FALSE)</f>
        <v>0</v>
      </c>
      <c r="H455" s="18">
        <f>VLOOKUP(A455,Uhikhinnad!$A$6:$F$156,6,FALSE)</f>
        <v>0</v>
      </c>
      <c r="I455" s="35">
        <f t="shared" si="18"/>
        <v>0</v>
      </c>
      <c r="J455" s="49"/>
    </row>
    <row r="456" spans="1:10" ht="11.25">
      <c r="A456" s="52" t="s">
        <v>264</v>
      </c>
      <c r="B456" s="55" t="s">
        <v>129</v>
      </c>
      <c r="C456" s="17" t="str">
        <f>VLOOKUP(A456,Uhikhinnad!$A$6:$F$156,2,FALSE)</f>
        <v>truup</v>
      </c>
      <c r="D456" s="17" t="str">
        <f>VLOOKUP(A456,Uhikhinnad!$A$6:$F$156,3,FALSE)</f>
        <v>plast</v>
      </c>
      <c r="E456" s="18" t="str">
        <f>VLOOKUP(A456,Uhikhinnad!$A$6:$F$156,4,FALSE)</f>
        <v>m</v>
      </c>
      <c r="F456" s="19">
        <v>0</v>
      </c>
      <c r="G456" s="18">
        <f>VLOOKUP(A456,Uhikhinnad!$A$6:$F$156,5,FALSE)</f>
        <v>0</v>
      </c>
      <c r="H456" s="18">
        <f>VLOOKUP(A456,Uhikhinnad!$A$6:$F$156,6,FALSE)</f>
        <v>0</v>
      </c>
      <c r="I456" s="35">
        <f t="shared" si="18"/>
        <v>0</v>
      </c>
      <c r="J456" s="49"/>
    </row>
    <row r="457" spans="1:10" ht="11.25">
      <c r="A457" s="52" t="s">
        <v>265</v>
      </c>
      <c r="B457" s="55" t="s">
        <v>129</v>
      </c>
      <c r="C457" s="17" t="str">
        <f>VLOOKUP(A457,Uhikhinnad!$A$6:$F$156,2,FALSE)</f>
        <v>truup</v>
      </c>
      <c r="D457" s="17">
        <f>VLOOKUP(A457,Uhikhinnad!$A$6:$F$156,3,FALSE)</f>
        <v>0</v>
      </c>
      <c r="E457" s="18" t="str">
        <f>VLOOKUP(A457,Uhikhinnad!$A$6:$F$156,4,FALSE)</f>
        <v>m</v>
      </c>
      <c r="F457" s="19">
        <v>0</v>
      </c>
      <c r="G457" s="18">
        <f>VLOOKUP(A457,Uhikhinnad!$A$6:$F$156,5,FALSE)</f>
        <v>0</v>
      </c>
      <c r="H457" s="18">
        <f>VLOOKUP(A457,Uhikhinnad!$A$6:$F$156,6,FALSE)</f>
        <v>0</v>
      </c>
      <c r="I457" s="35">
        <f t="shared" si="18"/>
        <v>0</v>
      </c>
      <c r="J457" s="49"/>
    </row>
    <row r="458" spans="1:10" ht="11.25">
      <c r="A458" s="52">
        <v>507</v>
      </c>
      <c r="B458" s="55" t="s">
        <v>129</v>
      </c>
      <c r="C458" s="17" t="str">
        <f>VLOOKUP(A458,Uhikhinnad!$A$6:$F$156,2,FALSE)</f>
        <v>sademevee restkaev</v>
      </c>
      <c r="D458" s="17" t="str">
        <f>VLOOKUP(A458,Uhikhinnad!$A$6:$F$156,3,FALSE)</f>
        <v>Liivapüüduriga kaev</v>
      </c>
      <c r="E458" s="18" t="str">
        <f>VLOOKUP(A458,Uhikhinnad!$A$6:$F$156,4,FALSE)</f>
        <v>tk</v>
      </c>
      <c r="F458" s="19">
        <v>0</v>
      </c>
      <c r="G458" s="18">
        <f>VLOOKUP(A458,Uhikhinnad!$A$6:$F$156,5,FALSE)</f>
        <v>1500</v>
      </c>
      <c r="H458" s="18">
        <f>VLOOKUP(A458,Uhikhinnad!$A$6:$F$156,6,FALSE)</f>
        <v>0</v>
      </c>
      <c r="I458" s="35">
        <f t="shared" si="18"/>
        <v>0</v>
      </c>
      <c r="J458" s="49"/>
    </row>
    <row r="459" spans="1:10" ht="11.25">
      <c r="A459" s="52">
        <v>508</v>
      </c>
      <c r="B459" s="55" t="s">
        <v>129</v>
      </c>
      <c r="C459" s="17" t="str">
        <f>VLOOKUP(A459,Uhikhinnad!$A$6:$F$156,2,FALSE)</f>
        <v>sademevee liivapüüdur</v>
      </c>
      <c r="D459" s="17">
        <f>VLOOKUP(A459,Uhikhinnad!$A$6:$F$156,3,FALSE)</f>
        <v>0</v>
      </c>
      <c r="E459" s="18">
        <f>VLOOKUP(A459,Uhikhinnad!$A$6:$F$156,4,FALSE)</f>
        <v>0</v>
      </c>
      <c r="F459" s="19">
        <v>0</v>
      </c>
      <c r="G459" s="18">
        <f>VLOOKUP(A459,Uhikhinnad!$A$6:$F$156,5,FALSE)</f>
        <v>0</v>
      </c>
      <c r="H459" s="18">
        <f>VLOOKUP(A459,Uhikhinnad!$A$6:$F$156,6,FALSE)</f>
        <v>0</v>
      </c>
      <c r="I459" s="35">
        <f t="shared" si="18"/>
        <v>0</v>
      </c>
      <c r="J459" s="49"/>
    </row>
    <row r="460" spans="1:10" ht="11.25">
      <c r="A460" s="52">
        <v>509</v>
      </c>
      <c r="B460" s="55" t="s">
        <v>129</v>
      </c>
      <c r="C460" s="17" t="str">
        <f>VLOOKUP(A460,Uhikhinnad!$A$6:$F$156,2,FALSE)</f>
        <v>sademevee õlipüüdur</v>
      </c>
      <c r="D460" s="17">
        <f>VLOOKUP(A460,Uhikhinnad!$A$6:$F$156,3,FALSE)</f>
        <v>0</v>
      </c>
      <c r="E460" s="18">
        <f>VLOOKUP(A460,Uhikhinnad!$A$6:$F$156,4,FALSE)</f>
        <v>0</v>
      </c>
      <c r="F460" s="19">
        <v>0</v>
      </c>
      <c r="G460" s="18">
        <f>VLOOKUP(A460,Uhikhinnad!$A$6:$F$156,5,FALSE)</f>
        <v>0</v>
      </c>
      <c r="H460" s="18">
        <f>VLOOKUP(A460,Uhikhinnad!$A$6:$F$156,6,FALSE)</f>
        <v>0</v>
      </c>
      <c r="I460" s="35">
        <f t="shared" si="18"/>
        <v>0</v>
      </c>
      <c r="J460" s="49"/>
    </row>
    <row r="461" spans="3:10" ht="11.25" customHeight="1">
      <c r="C461" s="54"/>
      <c r="D461" s="30"/>
      <c r="E461" s="30"/>
      <c r="F461" s="30"/>
      <c r="G461" s="30"/>
      <c r="H461" s="30"/>
      <c r="I461" s="41"/>
      <c r="J461" s="30"/>
    </row>
    <row r="462" ht="11.25" customHeight="1">
      <c r="C462" s="12" t="s">
        <v>132</v>
      </c>
    </row>
    <row r="463" spans="3:9" ht="11.25" customHeight="1">
      <c r="C463" s="94" t="s">
        <v>99</v>
      </c>
      <c r="I463" s="62">
        <f>SUM(I464:I492)</f>
        <v>0</v>
      </c>
    </row>
    <row r="464" spans="1:10" ht="11.25">
      <c r="A464" s="52">
        <v>501</v>
      </c>
      <c r="B464" s="55" t="s">
        <v>130</v>
      </c>
      <c r="C464" s="17" t="str">
        <f>VLOOKUP(A464,Uhikhinnad!$A$6:$F$156,2,FALSE)</f>
        <v>isevoolne sademeveetoru</v>
      </c>
      <c r="D464" s="17">
        <f>VLOOKUP(A464,Uhikhinnad!$A$6:$F$156,3,FALSE)</f>
        <v>0</v>
      </c>
      <c r="E464" s="18">
        <f>VLOOKUP(A464,Uhikhinnad!$A$6:$F$156,4,FALSE)</f>
        <v>0</v>
      </c>
      <c r="F464" s="19">
        <v>0</v>
      </c>
      <c r="G464" s="18">
        <f>VLOOKUP(A464,Uhikhinnad!$A$6:$F$156,5,FALSE)</f>
        <v>0</v>
      </c>
      <c r="H464" s="18">
        <f>VLOOKUP(A464,Uhikhinnad!$A$6:$F$156,6,FALSE)</f>
        <v>0</v>
      </c>
      <c r="I464" s="35">
        <f aca="true" t="shared" si="19" ref="I464:I492">F464*G464+H464</f>
        <v>0</v>
      </c>
      <c r="J464" s="49"/>
    </row>
    <row r="465" spans="1:10" ht="11.25">
      <c r="A465" s="52" t="s">
        <v>166</v>
      </c>
      <c r="B465" s="55" t="s">
        <v>130</v>
      </c>
      <c r="C465" s="17" t="str">
        <f>VLOOKUP(A465,Uhikhinnad!$A$6:$F$156,2,FALSE)</f>
        <v>isevoolne sademeveetoru kõvakattega alal </v>
      </c>
      <c r="D465" s="17" t="str">
        <f>VLOOKUP(A465,Uhikhinnad!$A$6:$F$156,3,FALSE)</f>
        <v>De160-De315</v>
      </c>
      <c r="E465" s="18" t="str">
        <f>VLOOKUP(A465,Uhikhinnad!$A$6:$F$156,4,FALSE)</f>
        <v>m</v>
      </c>
      <c r="F465" s="19">
        <v>0</v>
      </c>
      <c r="G465" s="18">
        <f>VLOOKUP(A465,Uhikhinnad!$A$6:$F$156,5,FALSE)</f>
        <v>210</v>
      </c>
      <c r="H465" s="18">
        <f>VLOOKUP(A465,Uhikhinnad!$A$6:$F$156,6,FALSE)</f>
        <v>0</v>
      </c>
      <c r="I465" s="35">
        <f t="shared" si="19"/>
        <v>0</v>
      </c>
      <c r="J465" s="49"/>
    </row>
    <row r="466" spans="1:10" ht="11.25">
      <c r="A466" s="52" t="s">
        <v>167</v>
      </c>
      <c r="B466" s="55" t="s">
        <v>130</v>
      </c>
      <c r="C466" s="17" t="str">
        <f>VLOOKUP(A466,Uhikhinnad!$A$6:$F$156,2,FALSE)</f>
        <v>isevoolne sademeveetoru kõvakattega alal </v>
      </c>
      <c r="D466" s="17" t="str">
        <f>VLOOKUP(A466,Uhikhinnad!$A$6:$F$156,3,FALSE)</f>
        <v>De400-De630</v>
      </c>
      <c r="E466" s="18" t="str">
        <f>VLOOKUP(A466,Uhikhinnad!$A$6:$F$156,4,FALSE)</f>
        <v>m</v>
      </c>
      <c r="F466" s="19">
        <v>0</v>
      </c>
      <c r="G466" s="18">
        <f>VLOOKUP(A466,Uhikhinnad!$A$6:$F$156,5,FALSE)</f>
        <v>300</v>
      </c>
      <c r="H466" s="18">
        <f>VLOOKUP(A466,Uhikhinnad!$A$6:$F$156,6,FALSE)</f>
        <v>0</v>
      </c>
      <c r="I466" s="35">
        <f t="shared" si="19"/>
        <v>0</v>
      </c>
      <c r="J466" s="49"/>
    </row>
    <row r="467" spans="1:10" ht="11.25">
      <c r="A467" s="52" t="s">
        <v>168</v>
      </c>
      <c r="B467" s="55" t="s">
        <v>130</v>
      </c>
      <c r="C467" s="17" t="str">
        <f>VLOOKUP(A467,Uhikhinnad!$A$6:$F$156,2,FALSE)</f>
        <v>isevoolne sademeveetoru kõvakattega alal </v>
      </c>
      <c r="D467" s="17" t="str">
        <f>VLOOKUP(A467,Uhikhinnad!$A$6:$F$156,3,FALSE)</f>
        <v>De630</v>
      </c>
      <c r="E467" s="18" t="str">
        <f>VLOOKUP(A467,Uhikhinnad!$A$6:$F$156,4,FALSE)</f>
        <v>m</v>
      </c>
      <c r="F467" s="19">
        <v>0</v>
      </c>
      <c r="G467" s="18">
        <f>VLOOKUP(A467,Uhikhinnad!$A$6:$F$156,5,FALSE)</f>
        <v>0</v>
      </c>
      <c r="H467" s="18">
        <f>VLOOKUP(A467,Uhikhinnad!$A$6:$F$156,6,FALSE)</f>
        <v>0</v>
      </c>
      <c r="I467" s="35">
        <f t="shared" si="19"/>
        <v>0</v>
      </c>
      <c r="J467" s="49"/>
    </row>
    <row r="468" spans="1:10" ht="11.25">
      <c r="A468" s="52" t="s">
        <v>169</v>
      </c>
      <c r="B468" s="55" t="s">
        <v>130</v>
      </c>
      <c r="C468" s="17" t="str">
        <f>VLOOKUP(A468,Uhikhinnad!$A$6:$F$156,2,FALSE)</f>
        <v>isevoolne sademeveetoru kõvakattega alal </v>
      </c>
      <c r="D468" s="17" t="str">
        <f>VLOOKUP(A468,Uhikhinnad!$A$6:$F$156,3,FALSE)</f>
        <v>De800-De1000</v>
      </c>
      <c r="E468" s="18" t="str">
        <f>VLOOKUP(A468,Uhikhinnad!$A$6:$F$156,4,FALSE)</f>
        <v>m</v>
      </c>
      <c r="F468" s="19">
        <v>0</v>
      </c>
      <c r="G468" s="18">
        <f>VLOOKUP(A468,Uhikhinnad!$A$6:$F$156,5,FALSE)</f>
        <v>1000</v>
      </c>
      <c r="H468" s="18">
        <f>VLOOKUP(A468,Uhikhinnad!$A$6:$F$156,6,FALSE)</f>
        <v>0</v>
      </c>
      <c r="I468" s="35">
        <f t="shared" si="19"/>
        <v>0</v>
      </c>
      <c r="J468" s="49"/>
    </row>
    <row r="469" spans="1:10" ht="11.25">
      <c r="A469" s="52" t="s">
        <v>247</v>
      </c>
      <c r="B469" s="55" t="s">
        <v>130</v>
      </c>
      <c r="C469" s="17" t="str">
        <f>VLOOKUP(A469,Uhikhinnad!$A$6:$F$156,2,FALSE)</f>
        <v>isevoolne sademeveetoru kruusateel, pinnaseteel või haljasalal</v>
      </c>
      <c r="D469" s="17" t="str">
        <f>VLOOKUP(A469,Uhikhinnad!$A$6:$F$156,3,FALSE)</f>
        <v>De160-De315</v>
      </c>
      <c r="E469" s="18" t="str">
        <f>VLOOKUP(A469,Uhikhinnad!$A$6:$F$156,4,FALSE)</f>
        <v>m</v>
      </c>
      <c r="F469" s="19">
        <v>0</v>
      </c>
      <c r="G469" s="18">
        <f>VLOOKUP(A469,Uhikhinnad!$A$6:$F$156,5,FALSE)</f>
        <v>200</v>
      </c>
      <c r="H469" s="18">
        <f>VLOOKUP(A469,Uhikhinnad!$A$6:$F$156,6,FALSE)</f>
        <v>0</v>
      </c>
      <c r="I469" s="35">
        <f t="shared" si="19"/>
        <v>0</v>
      </c>
      <c r="J469" s="49"/>
    </row>
    <row r="470" spans="1:10" ht="11.25">
      <c r="A470" s="52" t="s">
        <v>248</v>
      </c>
      <c r="B470" s="55" t="s">
        <v>130</v>
      </c>
      <c r="C470" s="17" t="str">
        <f>VLOOKUP(A470,Uhikhinnad!$A$6:$F$156,2,FALSE)</f>
        <v>isevoolne sademeveetoru kruusateel, pinnaseteel või haljasalal</v>
      </c>
      <c r="D470" s="17" t="str">
        <f>VLOOKUP(A470,Uhikhinnad!$A$6:$F$156,3,FALSE)</f>
        <v>De400-De630</v>
      </c>
      <c r="E470" s="18" t="str">
        <f>VLOOKUP(A470,Uhikhinnad!$A$6:$F$156,4,FALSE)</f>
        <v>m</v>
      </c>
      <c r="F470" s="19">
        <v>0</v>
      </c>
      <c r="G470" s="18">
        <f>VLOOKUP(A470,Uhikhinnad!$A$6:$F$156,5,FALSE)</f>
        <v>240</v>
      </c>
      <c r="H470" s="18">
        <f>VLOOKUP(A470,Uhikhinnad!$A$6:$F$156,6,FALSE)</f>
        <v>0</v>
      </c>
      <c r="I470" s="35">
        <f t="shared" si="19"/>
        <v>0</v>
      </c>
      <c r="J470" s="49"/>
    </row>
    <row r="471" spans="1:10" ht="11.25">
      <c r="A471" s="52" t="s">
        <v>249</v>
      </c>
      <c r="B471" s="55" t="s">
        <v>130</v>
      </c>
      <c r="C471" s="17" t="str">
        <f>VLOOKUP(A471,Uhikhinnad!$A$6:$F$156,2,FALSE)</f>
        <v>isevoolne sademeveetoru kruusateel, pinnaseteel või haljasalal</v>
      </c>
      <c r="D471" s="17" t="str">
        <f>VLOOKUP(A471,Uhikhinnad!$A$6:$F$156,3,FALSE)</f>
        <v>De630</v>
      </c>
      <c r="E471" s="18" t="str">
        <f>VLOOKUP(A471,Uhikhinnad!$A$6:$F$156,4,FALSE)</f>
        <v>m</v>
      </c>
      <c r="F471" s="19">
        <v>0</v>
      </c>
      <c r="G471" s="18">
        <f>VLOOKUP(A471,Uhikhinnad!$A$6:$F$156,5,FALSE)</f>
        <v>550</v>
      </c>
      <c r="H471" s="18">
        <f>VLOOKUP(A471,Uhikhinnad!$A$6:$F$156,6,FALSE)</f>
        <v>0</v>
      </c>
      <c r="I471" s="35">
        <f t="shared" si="19"/>
        <v>0</v>
      </c>
      <c r="J471" s="49"/>
    </row>
    <row r="472" spans="1:10" ht="11.25">
      <c r="A472" s="52" t="s">
        <v>250</v>
      </c>
      <c r="B472" s="55" t="s">
        <v>130</v>
      </c>
      <c r="C472" s="17" t="str">
        <f>VLOOKUP(A472,Uhikhinnad!$A$6:$F$156,2,FALSE)</f>
        <v>isevoolne sademeveetoru kruusateel, pinnaseteel või haljasalal</v>
      </c>
      <c r="D472" s="17" t="str">
        <f>VLOOKUP(A472,Uhikhinnad!$A$6:$F$156,3,FALSE)</f>
        <v>De800-De1000</v>
      </c>
      <c r="E472" s="18" t="str">
        <f>VLOOKUP(A472,Uhikhinnad!$A$6:$F$156,4,FALSE)</f>
        <v>m</v>
      </c>
      <c r="F472" s="19">
        <v>0</v>
      </c>
      <c r="G472" s="18">
        <f>VLOOKUP(A472,Uhikhinnad!$A$6:$F$156,5,FALSE)</f>
        <v>750</v>
      </c>
      <c r="H472" s="18">
        <f>VLOOKUP(A472,Uhikhinnad!$A$6:$F$156,6,FALSE)</f>
        <v>0</v>
      </c>
      <c r="I472" s="35">
        <f t="shared" si="19"/>
        <v>0</v>
      </c>
      <c r="J472" s="49"/>
    </row>
    <row r="473" spans="1:10" ht="11.25">
      <c r="A473" s="52">
        <v>502</v>
      </c>
      <c r="B473" s="55" t="s">
        <v>130</v>
      </c>
      <c r="C473" s="17" t="str">
        <f>VLOOKUP(A473,Uhikhinnad!$A$6:$F$156,2,FALSE)</f>
        <v>sademeveesurvetoru</v>
      </c>
      <c r="D473" s="17">
        <f>VLOOKUP(A473,Uhikhinnad!$A$6:$F$156,3,FALSE)</f>
        <v>0</v>
      </c>
      <c r="E473" s="18">
        <f>VLOOKUP(A473,Uhikhinnad!$A$6:$F$156,4,FALSE)</f>
        <v>0</v>
      </c>
      <c r="F473" s="19">
        <v>0</v>
      </c>
      <c r="G473" s="18">
        <f>VLOOKUP(A473,Uhikhinnad!$A$6:$F$156,5,FALSE)</f>
        <v>0</v>
      </c>
      <c r="H473" s="18">
        <f>VLOOKUP(A473,Uhikhinnad!$A$6:$F$156,6,FALSE)</f>
        <v>0</v>
      </c>
      <c r="I473" s="35">
        <f t="shared" si="19"/>
        <v>0</v>
      </c>
      <c r="J473" s="49"/>
    </row>
    <row r="474" spans="1:10" ht="11.25">
      <c r="A474" s="52" t="s">
        <v>170</v>
      </c>
      <c r="B474" s="55" t="s">
        <v>130</v>
      </c>
      <c r="C474" s="17" t="str">
        <f>VLOOKUP(A474,Uhikhinnad!$A$6:$F$156,2,FALSE)</f>
        <v>sademeveesurvetoru kõvakattega alal</v>
      </c>
      <c r="D474" s="17" t="str">
        <f>VLOOKUP(A474,Uhikhinnad!$A$6:$F$156,3,FALSE)</f>
        <v>De63-De110</v>
      </c>
      <c r="E474" s="18" t="str">
        <f>VLOOKUP(A474,Uhikhinnad!$A$6:$F$156,4,FALSE)</f>
        <v>m</v>
      </c>
      <c r="F474" s="19">
        <v>0</v>
      </c>
      <c r="G474" s="18">
        <f>VLOOKUP(A474,Uhikhinnad!$A$6:$F$156,5,FALSE)</f>
        <v>120</v>
      </c>
      <c r="H474" s="18">
        <f>VLOOKUP(A474,Uhikhinnad!$A$6:$F$156,6,FALSE)</f>
        <v>0</v>
      </c>
      <c r="I474" s="35">
        <f t="shared" si="19"/>
        <v>0</v>
      </c>
      <c r="J474" s="49"/>
    </row>
    <row r="475" spans="1:10" ht="11.25">
      <c r="A475" s="52" t="s">
        <v>171</v>
      </c>
      <c r="B475" s="55" t="s">
        <v>130</v>
      </c>
      <c r="C475" s="17" t="str">
        <f>VLOOKUP(A475,Uhikhinnad!$A$6:$F$156,2,FALSE)</f>
        <v>sademeveesurvetoru kõvakattega alal</v>
      </c>
      <c r="D475" s="17" t="str">
        <f>VLOOKUP(A475,Uhikhinnad!$A$6:$F$156,3,FALSE)</f>
        <v>De160-De315</v>
      </c>
      <c r="E475" s="18" t="str">
        <f>VLOOKUP(A475,Uhikhinnad!$A$6:$F$156,4,FALSE)</f>
        <v>m</v>
      </c>
      <c r="F475" s="19">
        <v>0</v>
      </c>
      <c r="G475" s="18">
        <f>VLOOKUP(A475,Uhikhinnad!$A$6:$F$156,5,FALSE)</f>
        <v>200</v>
      </c>
      <c r="H475" s="18">
        <f>VLOOKUP(A475,Uhikhinnad!$A$6:$F$156,6,FALSE)</f>
        <v>0</v>
      </c>
      <c r="I475" s="35">
        <f t="shared" si="19"/>
        <v>0</v>
      </c>
      <c r="J475" s="49"/>
    </row>
    <row r="476" spans="1:10" ht="11.25">
      <c r="A476" s="52" t="s">
        <v>172</v>
      </c>
      <c r="B476" s="55" t="s">
        <v>130</v>
      </c>
      <c r="C476" s="17" t="str">
        <f>VLOOKUP(A476,Uhikhinnad!$A$6:$F$156,2,FALSE)</f>
        <v>sademeveesurvetoru kruusateel, pinnaseteel või haljasalal</v>
      </c>
      <c r="D476" s="17" t="str">
        <f>VLOOKUP(A476,Uhikhinnad!$A$6:$F$156,3,FALSE)</f>
        <v>De63-De160</v>
      </c>
      <c r="E476" s="18" t="str">
        <f>VLOOKUP(A476,Uhikhinnad!$A$6:$F$156,4,FALSE)</f>
        <v>m</v>
      </c>
      <c r="F476" s="19">
        <v>0</v>
      </c>
      <c r="G476" s="18">
        <f>VLOOKUP(A476,Uhikhinnad!$A$6:$F$156,5,FALSE)</f>
        <v>120</v>
      </c>
      <c r="H476" s="18">
        <f>VLOOKUP(A476,Uhikhinnad!$A$6:$F$156,6,FALSE)</f>
        <v>0</v>
      </c>
      <c r="I476" s="35">
        <f t="shared" si="19"/>
        <v>0</v>
      </c>
      <c r="J476" s="49"/>
    </row>
    <row r="477" spans="1:10" ht="11.25">
      <c r="A477" s="52" t="s">
        <v>173</v>
      </c>
      <c r="B477" s="55" t="s">
        <v>130</v>
      </c>
      <c r="C477" s="17" t="str">
        <f>VLOOKUP(A477,Uhikhinnad!$A$6:$F$156,2,FALSE)</f>
        <v>sademeveesurvetoru kruusateel, pinnaseteel või haljasalal</v>
      </c>
      <c r="D477" s="17" t="str">
        <f>VLOOKUP(A477,Uhikhinnad!$A$6:$F$156,3,FALSE)</f>
        <v>De160-De315</v>
      </c>
      <c r="E477" s="18" t="str">
        <f>VLOOKUP(A477,Uhikhinnad!$A$6:$F$156,4,FALSE)</f>
        <v>m</v>
      </c>
      <c r="F477" s="19">
        <v>0</v>
      </c>
      <c r="G477" s="18">
        <f>VLOOKUP(A477,Uhikhinnad!$A$6:$F$156,5,FALSE)</f>
        <v>190</v>
      </c>
      <c r="H477" s="18">
        <f>VLOOKUP(A477,Uhikhinnad!$A$6:$F$156,6,FALSE)</f>
        <v>0</v>
      </c>
      <c r="I477" s="35">
        <f t="shared" si="19"/>
        <v>0</v>
      </c>
      <c r="J477" s="49"/>
    </row>
    <row r="478" spans="1:10" ht="11.25">
      <c r="A478" s="52">
        <v>503</v>
      </c>
      <c r="B478" s="55" t="s">
        <v>130</v>
      </c>
      <c r="C478" s="17" t="str">
        <f>VLOOKUP(A478,Uhikhinnad!$A$6:$F$156,2,FALSE)</f>
        <v>sademeveepumpla</v>
      </c>
      <c r="D478" s="17">
        <f>VLOOKUP(A478,Uhikhinnad!$A$6:$F$156,3,FALSE)</f>
        <v>0</v>
      </c>
      <c r="E478" s="18">
        <f>VLOOKUP(A478,Uhikhinnad!$A$6:$F$156,4,FALSE)</f>
        <v>0</v>
      </c>
      <c r="F478" s="19">
        <v>0</v>
      </c>
      <c r="G478" s="18">
        <f>VLOOKUP(A478,Uhikhinnad!$A$6:$F$156,5,FALSE)</f>
        <v>0</v>
      </c>
      <c r="H478" s="18">
        <f>VLOOKUP(A478,Uhikhinnad!$A$6:$F$156,6,FALSE)</f>
        <v>0</v>
      </c>
      <c r="I478" s="35">
        <f t="shared" si="19"/>
        <v>0</v>
      </c>
      <c r="J478" s="49"/>
    </row>
    <row r="479" spans="1:10" ht="11.25">
      <c r="A479" s="52" t="s">
        <v>176</v>
      </c>
      <c r="B479" s="55" t="s">
        <v>130</v>
      </c>
      <c r="C479" s="17" t="str">
        <f>VLOOKUP(A479,Uhikhinnad!$A$6:$F$156,2,FALSE)</f>
        <v>väike sademeveepumpla</v>
      </c>
      <c r="D479" s="17" t="str">
        <f>VLOOKUP(A479,Uhikhinnad!$A$6:$F$156,3,FALSE)</f>
        <v>Qarv ≤ 5 l/s</v>
      </c>
      <c r="E479" s="18" t="str">
        <f>VLOOKUP(A479,Uhikhinnad!$A$6:$F$156,4,FALSE)</f>
        <v>kmpl</v>
      </c>
      <c r="F479" s="19">
        <v>0</v>
      </c>
      <c r="G479" s="18">
        <f>VLOOKUP(A479,Uhikhinnad!$A$6:$F$156,5,FALSE)</f>
        <v>35000</v>
      </c>
      <c r="H479" s="18">
        <f>VLOOKUP(A479,Uhikhinnad!$A$6:$F$156,6,FALSE)</f>
        <v>0</v>
      </c>
      <c r="I479" s="35">
        <f t="shared" si="19"/>
        <v>0</v>
      </c>
      <c r="J479" s="49"/>
    </row>
    <row r="480" spans="1:10" ht="11.25">
      <c r="A480" s="52" t="s">
        <v>177</v>
      </c>
      <c r="B480" s="55" t="s">
        <v>130</v>
      </c>
      <c r="C480" s="17" t="str">
        <f>VLOOKUP(A480,Uhikhinnad!$A$6:$F$156,2,FALSE)</f>
        <v>keskmine  sademeveepumpla</v>
      </c>
      <c r="D480" s="17" t="str">
        <f>VLOOKUP(A480,Uhikhinnad!$A$6:$F$156,3,FALSE)</f>
        <v>Qarv 5 - 20 l/s</v>
      </c>
      <c r="E480" s="18" t="str">
        <f>VLOOKUP(A480,Uhikhinnad!$A$6:$F$156,4,FALSE)</f>
        <v>kmpl</v>
      </c>
      <c r="F480" s="19">
        <v>0</v>
      </c>
      <c r="G480" s="18">
        <f>VLOOKUP(A480,Uhikhinnad!$A$6:$F$156,5,FALSE)</f>
        <v>40000</v>
      </c>
      <c r="H480" s="18">
        <f>VLOOKUP(A480,Uhikhinnad!$A$6:$F$156,6,FALSE)</f>
        <v>0</v>
      </c>
      <c r="I480" s="35">
        <f t="shared" si="19"/>
        <v>0</v>
      </c>
      <c r="J480" s="49"/>
    </row>
    <row r="481" spans="1:10" ht="11.25">
      <c r="A481" s="52" t="s">
        <v>253</v>
      </c>
      <c r="B481" s="55" t="s">
        <v>130</v>
      </c>
      <c r="C481" s="17" t="str">
        <f>VLOOKUP(A481,Uhikhinnad!$A$6:$F$156,2,FALSE)</f>
        <v>suur  sademeveepumpla</v>
      </c>
      <c r="D481" s="17" t="str">
        <f>VLOOKUP(A481,Uhikhinnad!$A$6:$F$156,3,FALSE)</f>
        <v>Qarv ≥ 20 l/s</v>
      </c>
      <c r="E481" s="18" t="str">
        <f>VLOOKUP(A481,Uhikhinnad!$A$6:$F$156,4,FALSE)</f>
        <v>kmpl</v>
      </c>
      <c r="F481" s="19">
        <v>0</v>
      </c>
      <c r="G481" s="18">
        <f>VLOOKUP(A481,Uhikhinnad!$A$6:$F$156,5,FALSE)</f>
        <v>50000</v>
      </c>
      <c r="H481" s="18">
        <f>VLOOKUP(A481,Uhikhinnad!$A$6:$F$156,6,FALSE)</f>
        <v>0</v>
      </c>
      <c r="I481" s="35">
        <f t="shared" si="19"/>
        <v>0</v>
      </c>
      <c r="J481" s="49"/>
    </row>
    <row r="482" spans="1:10" ht="11.25">
      <c r="A482" s="52" t="s">
        <v>254</v>
      </c>
      <c r="B482" s="55" t="s">
        <v>130</v>
      </c>
      <c r="C482" s="17" t="str">
        <f>VLOOKUP(A482,Uhikhinnad!$A$6:$F$156,2,FALSE)</f>
        <v>erilahendusega  sademeveepumpla</v>
      </c>
      <c r="D482" s="17">
        <f>VLOOKUP(A482,Uhikhinnad!$A$6:$F$156,3,FALSE)</f>
        <v>0</v>
      </c>
      <c r="E482" s="18" t="str">
        <f>VLOOKUP(A482,Uhikhinnad!$A$6:$F$156,4,FALSE)</f>
        <v>kmpl</v>
      </c>
      <c r="F482" s="19">
        <v>0</v>
      </c>
      <c r="G482" s="18">
        <f>VLOOKUP(A482,Uhikhinnad!$A$6:$F$156,5,FALSE)</f>
        <v>0</v>
      </c>
      <c r="H482" s="18">
        <f>VLOOKUP(A482,Uhikhinnad!$A$6:$F$156,6,FALSE)</f>
        <v>0</v>
      </c>
      <c r="I482" s="35">
        <f t="shared" si="19"/>
        <v>0</v>
      </c>
      <c r="J482" s="49"/>
    </row>
    <row r="483" spans="1:10" ht="11.25">
      <c r="A483" s="52">
        <v>504</v>
      </c>
      <c r="B483" s="55" t="s">
        <v>130</v>
      </c>
      <c r="C483" s="17" t="str">
        <f>VLOOKUP(A483,Uhikhinnad!$A$6:$F$156,2,FALSE)</f>
        <v>majaühendus</v>
      </c>
      <c r="D483" s="17" t="str">
        <f>VLOOKUP(A483,Uhikhinnad!$A$6:$F$156,3,FALSE)</f>
        <v>Kontrollkaev De200, torustik ja otsakork</v>
      </c>
      <c r="E483" s="18" t="str">
        <f>VLOOKUP(A483,Uhikhinnad!$A$6:$F$156,4,FALSE)</f>
        <v>kmpl</v>
      </c>
      <c r="F483" s="19">
        <v>0</v>
      </c>
      <c r="G483" s="18">
        <f>VLOOKUP(A483,Uhikhinnad!$A$6:$F$156,5,FALSE)</f>
        <v>900</v>
      </c>
      <c r="H483" s="18">
        <f>VLOOKUP(A483,Uhikhinnad!$A$6:$F$156,6,FALSE)</f>
        <v>0</v>
      </c>
      <c r="I483" s="35">
        <f t="shared" si="19"/>
        <v>0</v>
      </c>
      <c r="J483" s="49"/>
    </row>
    <row r="484" spans="1:10" ht="11.25">
      <c r="A484" s="52">
        <v>505</v>
      </c>
      <c r="B484" s="55" t="s">
        <v>130</v>
      </c>
      <c r="C484" s="17" t="str">
        <f>VLOOKUP(A484,Uhikhinnad!$A$6:$F$156,2,FALSE)</f>
        <v>kraav</v>
      </c>
      <c r="D484" s="17">
        <f>VLOOKUP(A484,Uhikhinnad!$A$6:$F$156,3,FALSE)</f>
        <v>0</v>
      </c>
      <c r="E484" s="18" t="str">
        <f>VLOOKUP(A484,Uhikhinnad!$A$6:$F$156,4,FALSE)</f>
        <v>m</v>
      </c>
      <c r="F484" s="19">
        <v>0</v>
      </c>
      <c r="G484" s="18">
        <f>VLOOKUP(A484,Uhikhinnad!$A$6:$F$156,5,FALSE)</f>
        <v>100</v>
      </c>
      <c r="H484" s="18">
        <f>VLOOKUP(A484,Uhikhinnad!$A$6:$F$156,6,FALSE)</f>
        <v>0</v>
      </c>
      <c r="I484" s="35">
        <f t="shared" si="19"/>
        <v>0</v>
      </c>
      <c r="J484" s="49"/>
    </row>
    <row r="485" spans="1:10" ht="11.25">
      <c r="A485" s="52" t="s">
        <v>174</v>
      </c>
      <c r="B485" s="55" t="s">
        <v>130</v>
      </c>
      <c r="C485" s="17" t="str">
        <f>VLOOKUP(A485,Uhikhinnad!$A$6:$F$156,2,FALSE)</f>
        <v>kraavi rajamine </v>
      </c>
      <c r="D485" s="17">
        <f>VLOOKUP(A485,Uhikhinnad!$A$6:$F$156,3,FALSE)</f>
        <v>0</v>
      </c>
      <c r="E485" s="18" t="str">
        <f>VLOOKUP(A485,Uhikhinnad!$A$6:$F$156,4,FALSE)</f>
        <v>m</v>
      </c>
      <c r="F485" s="19">
        <v>0</v>
      </c>
      <c r="G485" s="18">
        <f>VLOOKUP(A485,Uhikhinnad!$A$6:$F$156,5,FALSE)</f>
        <v>200</v>
      </c>
      <c r="H485" s="18">
        <f>VLOOKUP(A485,Uhikhinnad!$A$6:$F$156,6,FALSE)</f>
        <v>0</v>
      </c>
      <c r="I485" s="35">
        <f t="shared" si="19"/>
        <v>0</v>
      </c>
      <c r="J485" s="49"/>
    </row>
    <row r="486" spans="1:10" ht="11.25">
      <c r="A486" s="52" t="s">
        <v>175</v>
      </c>
      <c r="B486" s="55" t="s">
        <v>130</v>
      </c>
      <c r="C486" s="17" t="str">
        <f>VLOOKUP(A486,Uhikhinnad!$A$6:$F$156,2,FALSE)</f>
        <v>kraavi puhastamine</v>
      </c>
      <c r="D486" s="17">
        <f>VLOOKUP(A486,Uhikhinnad!$A$6:$F$156,3,FALSE)</f>
        <v>0</v>
      </c>
      <c r="E486" s="18" t="str">
        <f>VLOOKUP(A486,Uhikhinnad!$A$6:$F$156,4,FALSE)</f>
        <v>m</v>
      </c>
      <c r="F486" s="19">
        <v>0</v>
      </c>
      <c r="G486" s="18">
        <f>VLOOKUP(A486,Uhikhinnad!$A$6:$F$156,5,FALSE)</f>
        <v>0</v>
      </c>
      <c r="H486" s="18">
        <f>VLOOKUP(A486,Uhikhinnad!$A$6:$F$156,6,FALSE)</f>
        <v>0</v>
      </c>
      <c r="I486" s="35">
        <f t="shared" si="19"/>
        <v>0</v>
      </c>
      <c r="J486" s="49"/>
    </row>
    <row r="487" spans="1:10" ht="11.25">
      <c r="A487" s="52">
        <v>506</v>
      </c>
      <c r="B487" s="55" t="s">
        <v>130</v>
      </c>
      <c r="C487" s="17" t="str">
        <f>VLOOKUP(A487,Uhikhinnad!$A$6:$F$156,2,FALSE)</f>
        <v>truup</v>
      </c>
      <c r="D487" s="17" t="str">
        <f>VLOOKUP(A487,Uhikhinnad!$A$6:$F$156,3,FALSE)</f>
        <v>betoon</v>
      </c>
      <c r="E487" s="18" t="str">
        <f>VLOOKUP(A487,Uhikhinnad!$A$6:$F$156,4,FALSE)</f>
        <v>m</v>
      </c>
      <c r="F487" s="19">
        <v>0</v>
      </c>
      <c r="G487" s="18">
        <f>VLOOKUP(A487,Uhikhinnad!$A$6:$F$156,5,FALSE)</f>
        <v>0</v>
      </c>
      <c r="H487" s="18">
        <f>VLOOKUP(A487,Uhikhinnad!$A$6:$F$156,6,FALSE)</f>
        <v>0</v>
      </c>
      <c r="I487" s="35">
        <f t="shared" si="19"/>
        <v>0</v>
      </c>
      <c r="J487" s="49"/>
    </row>
    <row r="488" spans="1:10" ht="11.25">
      <c r="A488" s="52" t="s">
        <v>264</v>
      </c>
      <c r="B488" s="55" t="s">
        <v>130</v>
      </c>
      <c r="C488" s="17" t="str">
        <f>VLOOKUP(A488,Uhikhinnad!$A$6:$F$156,2,FALSE)</f>
        <v>truup</v>
      </c>
      <c r="D488" s="17" t="str">
        <f>VLOOKUP(A488,Uhikhinnad!$A$6:$F$156,3,FALSE)</f>
        <v>plast</v>
      </c>
      <c r="E488" s="18" t="str">
        <f>VLOOKUP(A488,Uhikhinnad!$A$6:$F$156,4,FALSE)</f>
        <v>m</v>
      </c>
      <c r="F488" s="19">
        <v>0</v>
      </c>
      <c r="G488" s="18">
        <f>VLOOKUP(A488,Uhikhinnad!$A$6:$F$156,5,FALSE)</f>
        <v>0</v>
      </c>
      <c r="H488" s="18">
        <f>VLOOKUP(A488,Uhikhinnad!$A$6:$F$156,6,FALSE)</f>
        <v>0</v>
      </c>
      <c r="I488" s="35">
        <f t="shared" si="19"/>
        <v>0</v>
      </c>
      <c r="J488" s="49"/>
    </row>
    <row r="489" spans="1:10" ht="11.25">
      <c r="A489" s="52" t="s">
        <v>265</v>
      </c>
      <c r="B489" s="55" t="s">
        <v>130</v>
      </c>
      <c r="C489" s="17" t="str">
        <f>VLOOKUP(A489,Uhikhinnad!$A$6:$F$156,2,FALSE)</f>
        <v>truup</v>
      </c>
      <c r="D489" s="17">
        <f>VLOOKUP(A489,Uhikhinnad!$A$6:$F$156,3,FALSE)</f>
        <v>0</v>
      </c>
      <c r="E489" s="18" t="str">
        <f>VLOOKUP(A489,Uhikhinnad!$A$6:$F$156,4,FALSE)</f>
        <v>m</v>
      </c>
      <c r="F489" s="19">
        <v>0</v>
      </c>
      <c r="G489" s="18">
        <f>VLOOKUP(A489,Uhikhinnad!$A$6:$F$156,5,FALSE)</f>
        <v>0</v>
      </c>
      <c r="H489" s="18">
        <f>VLOOKUP(A489,Uhikhinnad!$A$6:$F$156,6,FALSE)</f>
        <v>0</v>
      </c>
      <c r="I489" s="35">
        <f t="shared" si="19"/>
        <v>0</v>
      </c>
      <c r="J489" s="49"/>
    </row>
    <row r="490" spans="1:10" ht="11.25">
      <c r="A490" s="52">
        <v>507</v>
      </c>
      <c r="B490" s="55" t="s">
        <v>130</v>
      </c>
      <c r="C490" s="17" t="str">
        <f>VLOOKUP(A490,Uhikhinnad!$A$6:$F$156,2,FALSE)</f>
        <v>sademevee restkaev</v>
      </c>
      <c r="D490" s="17" t="str">
        <f>VLOOKUP(A490,Uhikhinnad!$A$6:$F$156,3,FALSE)</f>
        <v>Liivapüüduriga kaev</v>
      </c>
      <c r="E490" s="18" t="str">
        <f>VLOOKUP(A490,Uhikhinnad!$A$6:$F$156,4,FALSE)</f>
        <v>tk</v>
      </c>
      <c r="F490" s="19">
        <v>0</v>
      </c>
      <c r="G490" s="18">
        <f>VLOOKUP(A490,Uhikhinnad!$A$6:$F$156,5,FALSE)</f>
        <v>1500</v>
      </c>
      <c r="H490" s="18">
        <f>VLOOKUP(A490,Uhikhinnad!$A$6:$F$156,6,FALSE)</f>
        <v>0</v>
      </c>
      <c r="I490" s="35">
        <f t="shared" si="19"/>
        <v>0</v>
      </c>
      <c r="J490" s="49"/>
    </row>
    <row r="491" spans="1:10" ht="11.25">
      <c r="A491" s="52">
        <v>508</v>
      </c>
      <c r="B491" s="55" t="s">
        <v>130</v>
      </c>
      <c r="C491" s="17" t="str">
        <f>VLOOKUP(A491,Uhikhinnad!$A$6:$F$156,2,FALSE)</f>
        <v>sademevee liivapüüdur</v>
      </c>
      <c r="D491" s="17">
        <f>VLOOKUP(A491,Uhikhinnad!$A$6:$F$156,3,FALSE)</f>
        <v>0</v>
      </c>
      <c r="E491" s="18">
        <f>VLOOKUP(A491,Uhikhinnad!$A$6:$F$156,4,FALSE)</f>
        <v>0</v>
      </c>
      <c r="F491" s="19">
        <v>0</v>
      </c>
      <c r="G491" s="18">
        <f>VLOOKUP(A491,Uhikhinnad!$A$6:$F$156,5,FALSE)</f>
        <v>0</v>
      </c>
      <c r="H491" s="18">
        <f>VLOOKUP(A491,Uhikhinnad!$A$6:$F$156,6,FALSE)</f>
        <v>0</v>
      </c>
      <c r="I491" s="35">
        <f t="shared" si="19"/>
        <v>0</v>
      </c>
      <c r="J491" s="49"/>
    </row>
    <row r="492" spans="1:10" ht="11.25">
      <c r="A492" s="52">
        <v>509</v>
      </c>
      <c r="B492" s="55" t="s">
        <v>130</v>
      </c>
      <c r="C492" s="17" t="str">
        <f>VLOOKUP(A492,Uhikhinnad!$A$6:$F$156,2,FALSE)</f>
        <v>sademevee õlipüüdur</v>
      </c>
      <c r="D492" s="17">
        <f>VLOOKUP(A492,Uhikhinnad!$A$6:$F$156,3,FALSE)</f>
        <v>0</v>
      </c>
      <c r="E492" s="18">
        <f>VLOOKUP(A492,Uhikhinnad!$A$6:$F$156,4,FALSE)</f>
        <v>0</v>
      </c>
      <c r="F492" s="19">
        <v>0</v>
      </c>
      <c r="G492" s="18">
        <f>VLOOKUP(A492,Uhikhinnad!$A$6:$F$156,5,FALSE)</f>
        <v>0</v>
      </c>
      <c r="H492" s="18">
        <f>VLOOKUP(A492,Uhikhinnad!$A$6:$F$156,6,FALSE)</f>
        <v>0</v>
      </c>
      <c r="I492" s="35">
        <f t="shared" si="19"/>
        <v>0</v>
      </c>
      <c r="J492" s="49"/>
    </row>
    <row r="493" ht="11.25" customHeight="1">
      <c r="C493" s="54"/>
    </row>
    <row r="494" spans="3:9" ht="11.25" customHeight="1">
      <c r="C494" s="94" t="s">
        <v>100</v>
      </c>
      <c r="I494" s="62">
        <f>SUM(I495:I523)</f>
        <v>0</v>
      </c>
    </row>
    <row r="495" spans="1:10" ht="11.25">
      <c r="A495" s="52">
        <v>501</v>
      </c>
      <c r="B495" s="55" t="s">
        <v>130</v>
      </c>
      <c r="C495" s="17" t="str">
        <f>VLOOKUP(A495,Uhikhinnad!$A$6:$F$156,2,FALSE)</f>
        <v>isevoolne sademeveetoru</v>
      </c>
      <c r="D495" s="17">
        <f>VLOOKUP(A495,Uhikhinnad!$A$6:$F$156,3,FALSE)</f>
        <v>0</v>
      </c>
      <c r="E495" s="18">
        <f>VLOOKUP(A495,Uhikhinnad!$A$6:$F$156,4,FALSE)</f>
        <v>0</v>
      </c>
      <c r="F495" s="19">
        <v>0</v>
      </c>
      <c r="G495" s="18">
        <f>VLOOKUP(A495,Uhikhinnad!$A$6:$F$156,5,FALSE)</f>
        <v>0</v>
      </c>
      <c r="H495" s="18">
        <f>VLOOKUP(A495,Uhikhinnad!$A$6:$F$156,6,FALSE)</f>
        <v>0</v>
      </c>
      <c r="I495" s="35">
        <f aca="true" t="shared" si="20" ref="I495:I523">F495*G495+H495</f>
        <v>0</v>
      </c>
      <c r="J495" s="49"/>
    </row>
    <row r="496" spans="1:10" ht="11.25">
      <c r="A496" s="52" t="s">
        <v>166</v>
      </c>
      <c r="B496" s="55" t="s">
        <v>130</v>
      </c>
      <c r="C496" s="17" t="str">
        <f>VLOOKUP(A496,Uhikhinnad!$A$6:$F$156,2,FALSE)</f>
        <v>isevoolne sademeveetoru kõvakattega alal </v>
      </c>
      <c r="D496" s="17" t="str">
        <f>VLOOKUP(A496,Uhikhinnad!$A$6:$F$156,3,FALSE)</f>
        <v>De160-De315</v>
      </c>
      <c r="E496" s="18" t="str">
        <f>VLOOKUP(A496,Uhikhinnad!$A$6:$F$156,4,FALSE)</f>
        <v>m</v>
      </c>
      <c r="F496" s="19">
        <v>0</v>
      </c>
      <c r="G496" s="18">
        <f>VLOOKUP(A496,Uhikhinnad!$A$6:$F$156,5,FALSE)</f>
        <v>210</v>
      </c>
      <c r="H496" s="18">
        <f>VLOOKUP(A496,Uhikhinnad!$A$6:$F$156,6,FALSE)</f>
        <v>0</v>
      </c>
      <c r="I496" s="35">
        <f t="shared" si="20"/>
        <v>0</v>
      </c>
      <c r="J496" s="49"/>
    </row>
    <row r="497" spans="1:10" ht="11.25">
      <c r="A497" s="52" t="s">
        <v>167</v>
      </c>
      <c r="B497" s="55" t="s">
        <v>130</v>
      </c>
      <c r="C497" s="17" t="str">
        <f>VLOOKUP(A497,Uhikhinnad!$A$6:$F$156,2,FALSE)</f>
        <v>isevoolne sademeveetoru kõvakattega alal </v>
      </c>
      <c r="D497" s="17" t="str">
        <f>VLOOKUP(A497,Uhikhinnad!$A$6:$F$156,3,FALSE)</f>
        <v>De400-De630</v>
      </c>
      <c r="E497" s="18" t="str">
        <f>VLOOKUP(A497,Uhikhinnad!$A$6:$F$156,4,FALSE)</f>
        <v>m</v>
      </c>
      <c r="F497" s="19">
        <v>0</v>
      </c>
      <c r="G497" s="18">
        <f>VLOOKUP(A497,Uhikhinnad!$A$6:$F$156,5,FALSE)</f>
        <v>300</v>
      </c>
      <c r="H497" s="18">
        <f>VLOOKUP(A497,Uhikhinnad!$A$6:$F$156,6,FALSE)</f>
        <v>0</v>
      </c>
      <c r="I497" s="35">
        <f t="shared" si="20"/>
        <v>0</v>
      </c>
      <c r="J497" s="49"/>
    </row>
    <row r="498" spans="1:10" ht="11.25">
      <c r="A498" s="52" t="s">
        <v>168</v>
      </c>
      <c r="B498" s="55" t="s">
        <v>130</v>
      </c>
      <c r="C498" s="17" t="str">
        <f>VLOOKUP(A498,Uhikhinnad!$A$6:$F$156,2,FALSE)</f>
        <v>isevoolne sademeveetoru kõvakattega alal </v>
      </c>
      <c r="D498" s="17" t="str">
        <f>VLOOKUP(A498,Uhikhinnad!$A$6:$F$156,3,FALSE)</f>
        <v>De630</v>
      </c>
      <c r="E498" s="18" t="str">
        <f>VLOOKUP(A498,Uhikhinnad!$A$6:$F$156,4,FALSE)</f>
        <v>m</v>
      </c>
      <c r="F498" s="19">
        <v>0</v>
      </c>
      <c r="G498" s="18">
        <f>VLOOKUP(A498,Uhikhinnad!$A$6:$F$156,5,FALSE)</f>
        <v>0</v>
      </c>
      <c r="H498" s="18">
        <f>VLOOKUP(A498,Uhikhinnad!$A$6:$F$156,6,FALSE)</f>
        <v>0</v>
      </c>
      <c r="I498" s="35">
        <f t="shared" si="20"/>
        <v>0</v>
      </c>
      <c r="J498" s="49"/>
    </row>
    <row r="499" spans="1:10" ht="11.25">
      <c r="A499" s="52" t="s">
        <v>169</v>
      </c>
      <c r="B499" s="55" t="s">
        <v>130</v>
      </c>
      <c r="C499" s="17" t="str">
        <f>VLOOKUP(A499,Uhikhinnad!$A$6:$F$156,2,FALSE)</f>
        <v>isevoolne sademeveetoru kõvakattega alal </v>
      </c>
      <c r="D499" s="17" t="str">
        <f>VLOOKUP(A499,Uhikhinnad!$A$6:$F$156,3,FALSE)</f>
        <v>De800-De1000</v>
      </c>
      <c r="E499" s="18" t="str">
        <f>VLOOKUP(A499,Uhikhinnad!$A$6:$F$156,4,FALSE)</f>
        <v>m</v>
      </c>
      <c r="F499" s="19">
        <v>0</v>
      </c>
      <c r="G499" s="18">
        <f>VLOOKUP(A499,Uhikhinnad!$A$6:$F$156,5,FALSE)</f>
        <v>1000</v>
      </c>
      <c r="H499" s="18">
        <f>VLOOKUP(A499,Uhikhinnad!$A$6:$F$156,6,FALSE)</f>
        <v>0</v>
      </c>
      <c r="I499" s="35">
        <f t="shared" si="20"/>
        <v>0</v>
      </c>
      <c r="J499" s="49"/>
    </row>
    <row r="500" spans="1:10" ht="11.25">
      <c r="A500" s="52" t="s">
        <v>247</v>
      </c>
      <c r="B500" s="55" t="s">
        <v>130</v>
      </c>
      <c r="C500" s="17" t="str">
        <f>VLOOKUP(A500,Uhikhinnad!$A$6:$F$156,2,FALSE)</f>
        <v>isevoolne sademeveetoru kruusateel, pinnaseteel või haljasalal</v>
      </c>
      <c r="D500" s="17" t="str">
        <f>VLOOKUP(A500,Uhikhinnad!$A$6:$F$156,3,FALSE)</f>
        <v>De160-De315</v>
      </c>
      <c r="E500" s="18" t="str">
        <f>VLOOKUP(A500,Uhikhinnad!$A$6:$F$156,4,FALSE)</f>
        <v>m</v>
      </c>
      <c r="F500" s="19">
        <v>0</v>
      </c>
      <c r="G500" s="18">
        <f>VLOOKUP(A500,Uhikhinnad!$A$6:$F$156,5,FALSE)</f>
        <v>200</v>
      </c>
      <c r="H500" s="18">
        <f>VLOOKUP(A500,Uhikhinnad!$A$6:$F$156,6,FALSE)</f>
        <v>0</v>
      </c>
      <c r="I500" s="35">
        <f t="shared" si="20"/>
        <v>0</v>
      </c>
      <c r="J500" s="49"/>
    </row>
    <row r="501" spans="1:10" ht="11.25">
      <c r="A501" s="52" t="s">
        <v>248</v>
      </c>
      <c r="B501" s="55" t="s">
        <v>130</v>
      </c>
      <c r="C501" s="17" t="str">
        <f>VLOOKUP(A501,Uhikhinnad!$A$6:$F$156,2,FALSE)</f>
        <v>isevoolne sademeveetoru kruusateel, pinnaseteel või haljasalal</v>
      </c>
      <c r="D501" s="17" t="str">
        <f>VLOOKUP(A501,Uhikhinnad!$A$6:$F$156,3,FALSE)</f>
        <v>De400-De630</v>
      </c>
      <c r="E501" s="18" t="str">
        <f>VLOOKUP(A501,Uhikhinnad!$A$6:$F$156,4,FALSE)</f>
        <v>m</v>
      </c>
      <c r="F501" s="19">
        <v>0</v>
      </c>
      <c r="G501" s="18">
        <f>VLOOKUP(A501,Uhikhinnad!$A$6:$F$156,5,FALSE)</f>
        <v>240</v>
      </c>
      <c r="H501" s="18">
        <f>VLOOKUP(A501,Uhikhinnad!$A$6:$F$156,6,FALSE)</f>
        <v>0</v>
      </c>
      <c r="I501" s="35">
        <f t="shared" si="20"/>
        <v>0</v>
      </c>
      <c r="J501" s="49"/>
    </row>
    <row r="502" spans="1:10" ht="11.25">
      <c r="A502" s="52" t="s">
        <v>249</v>
      </c>
      <c r="B502" s="55" t="s">
        <v>130</v>
      </c>
      <c r="C502" s="17" t="str">
        <f>VLOOKUP(A502,Uhikhinnad!$A$6:$F$156,2,FALSE)</f>
        <v>isevoolne sademeveetoru kruusateel, pinnaseteel või haljasalal</v>
      </c>
      <c r="D502" s="17" t="str">
        <f>VLOOKUP(A502,Uhikhinnad!$A$6:$F$156,3,FALSE)</f>
        <v>De630</v>
      </c>
      <c r="E502" s="18" t="str">
        <f>VLOOKUP(A502,Uhikhinnad!$A$6:$F$156,4,FALSE)</f>
        <v>m</v>
      </c>
      <c r="F502" s="19">
        <v>0</v>
      </c>
      <c r="G502" s="18">
        <f>VLOOKUP(A502,Uhikhinnad!$A$6:$F$156,5,FALSE)</f>
        <v>550</v>
      </c>
      <c r="H502" s="18">
        <f>VLOOKUP(A502,Uhikhinnad!$A$6:$F$156,6,FALSE)</f>
        <v>0</v>
      </c>
      <c r="I502" s="35">
        <f t="shared" si="20"/>
        <v>0</v>
      </c>
      <c r="J502" s="49"/>
    </row>
    <row r="503" spans="1:10" ht="11.25">
      <c r="A503" s="52" t="s">
        <v>250</v>
      </c>
      <c r="B503" s="55" t="s">
        <v>130</v>
      </c>
      <c r="C503" s="17" t="str">
        <f>VLOOKUP(A503,Uhikhinnad!$A$6:$F$156,2,FALSE)</f>
        <v>isevoolne sademeveetoru kruusateel, pinnaseteel või haljasalal</v>
      </c>
      <c r="D503" s="17" t="str">
        <f>VLOOKUP(A503,Uhikhinnad!$A$6:$F$156,3,FALSE)</f>
        <v>De800-De1000</v>
      </c>
      <c r="E503" s="18" t="str">
        <f>VLOOKUP(A503,Uhikhinnad!$A$6:$F$156,4,FALSE)</f>
        <v>m</v>
      </c>
      <c r="F503" s="19">
        <v>0</v>
      </c>
      <c r="G503" s="18">
        <f>VLOOKUP(A503,Uhikhinnad!$A$6:$F$156,5,FALSE)</f>
        <v>750</v>
      </c>
      <c r="H503" s="18">
        <f>VLOOKUP(A503,Uhikhinnad!$A$6:$F$156,6,FALSE)</f>
        <v>0</v>
      </c>
      <c r="I503" s="35">
        <f t="shared" si="20"/>
        <v>0</v>
      </c>
      <c r="J503" s="49"/>
    </row>
    <row r="504" spans="1:10" ht="11.25">
      <c r="A504" s="52">
        <v>502</v>
      </c>
      <c r="B504" s="55" t="s">
        <v>130</v>
      </c>
      <c r="C504" s="17" t="str">
        <f>VLOOKUP(A504,Uhikhinnad!$A$6:$F$156,2,FALSE)</f>
        <v>sademeveesurvetoru</v>
      </c>
      <c r="D504" s="17">
        <f>VLOOKUP(A504,Uhikhinnad!$A$6:$F$156,3,FALSE)</f>
        <v>0</v>
      </c>
      <c r="E504" s="18">
        <f>VLOOKUP(A504,Uhikhinnad!$A$6:$F$156,4,FALSE)</f>
        <v>0</v>
      </c>
      <c r="F504" s="19">
        <v>0</v>
      </c>
      <c r="G504" s="18">
        <f>VLOOKUP(A504,Uhikhinnad!$A$6:$F$156,5,FALSE)</f>
        <v>0</v>
      </c>
      <c r="H504" s="18">
        <f>VLOOKUP(A504,Uhikhinnad!$A$6:$F$156,6,FALSE)</f>
        <v>0</v>
      </c>
      <c r="I504" s="35">
        <f t="shared" si="20"/>
        <v>0</v>
      </c>
      <c r="J504" s="49"/>
    </row>
    <row r="505" spans="1:10" ht="11.25">
      <c r="A505" s="52" t="s">
        <v>170</v>
      </c>
      <c r="B505" s="55" t="s">
        <v>130</v>
      </c>
      <c r="C505" s="17" t="str">
        <f>VLOOKUP(A505,Uhikhinnad!$A$6:$F$156,2,FALSE)</f>
        <v>sademeveesurvetoru kõvakattega alal</v>
      </c>
      <c r="D505" s="17" t="str">
        <f>VLOOKUP(A505,Uhikhinnad!$A$6:$F$156,3,FALSE)</f>
        <v>De63-De110</v>
      </c>
      <c r="E505" s="18" t="str">
        <f>VLOOKUP(A505,Uhikhinnad!$A$6:$F$156,4,FALSE)</f>
        <v>m</v>
      </c>
      <c r="F505" s="19">
        <v>0</v>
      </c>
      <c r="G505" s="18">
        <f>VLOOKUP(A505,Uhikhinnad!$A$6:$F$156,5,FALSE)</f>
        <v>120</v>
      </c>
      <c r="H505" s="18">
        <f>VLOOKUP(A505,Uhikhinnad!$A$6:$F$156,6,FALSE)</f>
        <v>0</v>
      </c>
      <c r="I505" s="35">
        <f t="shared" si="20"/>
        <v>0</v>
      </c>
      <c r="J505" s="49"/>
    </row>
    <row r="506" spans="1:10" ht="11.25">
      <c r="A506" s="52" t="s">
        <v>171</v>
      </c>
      <c r="B506" s="55" t="s">
        <v>130</v>
      </c>
      <c r="C506" s="17" t="str">
        <f>VLOOKUP(A506,Uhikhinnad!$A$6:$F$156,2,FALSE)</f>
        <v>sademeveesurvetoru kõvakattega alal</v>
      </c>
      <c r="D506" s="17" t="str">
        <f>VLOOKUP(A506,Uhikhinnad!$A$6:$F$156,3,FALSE)</f>
        <v>De160-De315</v>
      </c>
      <c r="E506" s="18" t="str">
        <f>VLOOKUP(A506,Uhikhinnad!$A$6:$F$156,4,FALSE)</f>
        <v>m</v>
      </c>
      <c r="F506" s="19">
        <v>0</v>
      </c>
      <c r="G506" s="18">
        <f>VLOOKUP(A506,Uhikhinnad!$A$6:$F$156,5,FALSE)</f>
        <v>200</v>
      </c>
      <c r="H506" s="18">
        <f>VLOOKUP(A506,Uhikhinnad!$A$6:$F$156,6,FALSE)</f>
        <v>0</v>
      </c>
      <c r="I506" s="35">
        <f t="shared" si="20"/>
        <v>0</v>
      </c>
      <c r="J506" s="49"/>
    </row>
    <row r="507" spans="1:10" ht="11.25">
      <c r="A507" s="52" t="s">
        <v>172</v>
      </c>
      <c r="B507" s="55" t="s">
        <v>130</v>
      </c>
      <c r="C507" s="17" t="str">
        <f>VLOOKUP(A507,Uhikhinnad!$A$6:$F$156,2,FALSE)</f>
        <v>sademeveesurvetoru kruusateel, pinnaseteel või haljasalal</v>
      </c>
      <c r="D507" s="17" t="str">
        <f>VLOOKUP(A507,Uhikhinnad!$A$6:$F$156,3,FALSE)</f>
        <v>De63-De160</v>
      </c>
      <c r="E507" s="18" t="str">
        <f>VLOOKUP(A507,Uhikhinnad!$A$6:$F$156,4,FALSE)</f>
        <v>m</v>
      </c>
      <c r="F507" s="19">
        <v>0</v>
      </c>
      <c r="G507" s="18">
        <f>VLOOKUP(A507,Uhikhinnad!$A$6:$F$156,5,FALSE)</f>
        <v>120</v>
      </c>
      <c r="H507" s="18">
        <f>VLOOKUP(A507,Uhikhinnad!$A$6:$F$156,6,FALSE)</f>
        <v>0</v>
      </c>
      <c r="I507" s="35">
        <f t="shared" si="20"/>
        <v>0</v>
      </c>
      <c r="J507" s="49"/>
    </row>
    <row r="508" spans="1:10" ht="11.25">
      <c r="A508" s="52" t="s">
        <v>173</v>
      </c>
      <c r="B508" s="55" t="s">
        <v>130</v>
      </c>
      <c r="C508" s="17" t="str">
        <f>VLOOKUP(A508,Uhikhinnad!$A$6:$F$156,2,FALSE)</f>
        <v>sademeveesurvetoru kruusateel, pinnaseteel või haljasalal</v>
      </c>
      <c r="D508" s="17" t="str">
        <f>VLOOKUP(A508,Uhikhinnad!$A$6:$F$156,3,FALSE)</f>
        <v>De160-De315</v>
      </c>
      <c r="E508" s="18" t="str">
        <f>VLOOKUP(A508,Uhikhinnad!$A$6:$F$156,4,FALSE)</f>
        <v>m</v>
      </c>
      <c r="F508" s="19">
        <v>0</v>
      </c>
      <c r="G508" s="18">
        <f>VLOOKUP(A508,Uhikhinnad!$A$6:$F$156,5,FALSE)</f>
        <v>190</v>
      </c>
      <c r="H508" s="18">
        <f>VLOOKUP(A508,Uhikhinnad!$A$6:$F$156,6,FALSE)</f>
        <v>0</v>
      </c>
      <c r="I508" s="35">
        <f t="shared" si="20"/>
        <v>0</v>
      </c>
      <c r="J508" s="49"/>
    </row>
    <row r="509" spans="1:10" ht="11.25">
      <c r="A509" s="52">
        <v>503</v>
      </c>
      <c r="B509" s="55" t="s">
        <v>130</v>
      </c>
      <c r="C509" s="17" t="str">
        <f>VLOOKUP(A509,Uhikhinnad!$A$6:$F$156,2,FALSE)</f>
        <v>sademeveepumpla</v>
      </c>
      <c r="D509" s="17">
        <f>VLOOKUP(A509,Uhikhinnad!$A$6:$F$156,3,FALSE)</f>
        <v>0</v>
      </c>
      <c r="E509" s="18">
        <f>VLOOKUP(A509,Uhikhinnad!$A$6:$F$156,4,FALSE)</f>
        <v>0</v>
      </c>
      <c r="F509" s="19">
        <v>0</v>
      </c>
      <c r="G509" s="18">
        <f>VLOOKUP(A509,Uhikhinnad!$A$6:$F$156,5,FALSE)</f>
        <v>0</v>
      </c>
      <c r="H509" s="18">
        <f>VLOOKUP(A509,Uhikhinnad!$A$6:$F$156,6,FALSE)</f>
        <v>0</v>
      </c>
      <c r="I509" s="35">
        <f t="shared" si="20"/>
        <v>0</v>
      </c>
      <c r="J509" s="49"/>
    </row>
    <row r="510" spans="1:10" ht="11.25">
      <c r="A510" s="52" t="s">
        <v>176</v>
      </c>
      <c r="B510" s="55" t="s">
        <v>130</v>
      </c>
      <c r="C510" s="17" t="str">
        <f>VLOOKUP(A510,Uhikhinnad!$A$6:$F$156,2,FALSE)</f>
        <v>väike sademeveepumpla</v>
      </c>
      <c r="D510" s="17" t="str">
        <f>VLOOKUP(A510,Uhikhinnad!$A$6:$F$156,3,FALSE)</f>
        <v>Qarv ≤ 5 l/s</v>
      </c>
      <c r="E510" s="18" t="str">
        <f>VLOOKUP(A510,Uhikhinnad!$A$6:$F$156,4,FALSE)</f>
        <v>kmpl</v>
      </c>
      <c r="F510" s="19">
        <v>0</v>
      </c>
      <c r="G510" s="18">
        <f>VLOOKUP(A510,Uhikhinnad!$A$6:$F$156,5,FALSE)</f>
        <v>35000</v>
      </c>
      <c r="H510" s="18">
        <f>VLOOKUP(A510,Uhikhinnad!$A$6:$F$156,6,FALSE)</f>
        <v>0</v>
      </c>
      <c r="I510" s="35">
        <f t="shared" si="20"/>
        <v>0</v>
      </c>
      <c r="J510" s="49"/>
    </row>
    <row r="511" spans="1:10" ht="11.25">
      <c r="A511" s="52" t="s">
        <v>177</v>
      </c>
      <c r="B511" s="55" t="s">
        <v>130</v>
      </c>
      <c r="C511" s="17" t="str">
        <f>VLOOKUP(A511,Uhikhinnad!$A$6:$F$156,2,FALSE)</f>
        <v>keskmine  sademeveepumpla</v>
      </c>
      <c r="D511" s="17" t="str">
        <f>VLOOKUP(A511,Uhikhinnad!$A$6:$F$156,3,FALSE)</f>
        <v>Qarv 5 - 20 l/s</v>
      </c>
      <c r="E511" s="18" t="str">
        <f>VLOOKUP(A511,Uhikhinnad!$A$6:$F$156,4,FALSE)</f>
        <v>kmpl</v>
      </c>
      <c r="F511" s="19">
        <v>0</v>
      </c>
      <c r="G511" s="18">
        <f>VLOOKUP(A511,Uhikhinnad!$A$6:$F$156,5,FALSE)</f>
        <v>40000</v>
      </c>
      <c r="H511" s="18">
        <f>VLOOKUP(A511,Uhikhinnad!$A$6:$F$156,6,FALSE)</f>
        <v>0</v>
      </c>
      <c r="I511" s="35">
        <f t="shared" si="20"/>
        <v>0</v>
      </c>
      <c r="J511" s="49"/>
    </row>
    <row r="512" spans="1:10" ht="11.25">
      <c r="A512" s="52" t="s">
        <v>253</v>
      </c>
      <c r="B512" s="55" t="s">
        <v>130</v>
      </c>
      <c r="C512" s="17" t="str">
        <f>VLOOKUP(A512,Uhikhinnad!$A$6:$F$156,2,FALSE)</f>
        <v>suur  sademeveepumpla</v>
      </c>
      <c r="D512" s="17" t="str">
        <f>VLOOKUP(A512,Uhikhinnad!$A$6:$F$156,3,FALSE)</f>
        <v>Qarv ≥ 20 l/s</v>
      </c>
      <c r="E512" s="18" t="str">
        <f>VLOOKUP(A512,Uhikhinnad!$A$6:$F$156,4,FALSE)</f>
        <v>kmpl</v>
      </c>
      <c r="F512" s="19">
        <v>0</v>
      </c>
      <c r="G512" s="18">
        <f>VLOOKUP(A512,Uhikhinnad!$A$6:$F$156,5,FALSE)</f>
        <v>50000</v>
      </c>
      <c r="H512" s="18">
        <f>VLOOKUP(A512,Uhikhinnad!$A$6:$F$156,6,FALSE)</f>
        <v>0</v>
      </c>
      <c r="I512" s="35">
        <f t="shared" si="20"/>
        <v>0</v>
      </c>
      <c r="J512" s="49"/>
    </row>
    <row r="513" spans="1:10" ht="11.25">
      <c r="A513" s="52" t="s">
        <v>254</v>
      </c>
      <c r="B513" s="55" t="s">
        <v>130</v>
      </c>
      <c r="C513" s="17" t="str">
        <f>VLOOKUP(A513,Uhikhinnad!$A$6:$F$156,2,FALSE)</f>
        <v>erilahendusega  sademeveepumpla</v>
      </c>
      <c r="D513" s="17">
        <f>VLOOKUP(A513,Uhikhinnad!$A$6:$F$156,3,FALSE)</f>
        <v>0</v>
      </c>
      <c r="E513" s="18" t="str">
        <f>VLOOKUP(A513,Uhikhinnad!$A$6:$F$156,4,FALSE)</f>
        <v>kmpl</v>
      </c>
      <c r="F513" s="19">
        <v>0</v>
      </c>
      <c r="G513" s="18">
        <f>VLOOKUP(A513,Uhikhinnad!$A$6:$F$156,5,FALSE)</f>
        <v>0</v>
      </c>
      <c r="H513" s="18">
        <f>VLOOKUP(A513,Uhikhinnad!$A$6:$F$156,6,FALSE)</f>
        <v>0</v>
      </c>
      <c r="I513" s="35">
        <f t="shared" si="20"/>
        <v>0</v>
      </c>
      <c r="J513" s="49"/>
    </row>
    <row r="514" spans="1:10" ht="11.25">
      <c r="A514" s="52">
        <v>504</v>
      </c>
      <c r="B514" s="55" t="s">
        <v>130</v>
      </c>
      <c r="C514" s="17" t="str">
        <f>VLOOKUP(A514,Uhikhinnad!$A$6:$F$156,2,FALSE)</f>
        <v>majaühendus</v>
      </c>
      <c r="D514" s="17" t="str">
        <f>VLOOKUP(A514,Uhikhinnad!$A$6:$F$156,3,FALSE)</f>
        <v>Kontrollkaev De200, torustik ja otsakork</v>
      </c>
      <c r="E514" s="18" t="str">
        <f>VLOOKUP(A514,Uhikhinnad!$A$6:$F$156,4,FALSE)</f>
        <v>kmpl</v>
      </c>
      <c r="F514" s="19">
        <v>0</v>
      </c>
      <c r="G514" s="18">
        <f>VLOOKUP(A514,Uhikhinnad!$A$6:$F$156,5,FALSE)</f>
        <v>900</v>
      </c>
      <c r="H514" s="18">
        <f>VLOOKUP(A514,Uhikhinnad!$A$6:$F$156,6,FALSE)</f>
        <v>0</v>
      </c>
      <c r="I514" s="35">
        <f t="shared" si="20"/>
        <v>0</v>
      </c>
      <c r="J514" s="49"/>
    </row>
    <row r="515" spans="1:10" ht="11.25">
      <c r="A515" s="52">
        <v>505</v>
      </c>
      <c r="B515" s="55" t="s">
        <v>130</v>
      </c>
      <c r="C515" s="17" t="str">
        <f>VLOOKUP(A515,Uhikhinnad!$A$6:$F$156,2,FALSE)</f>
        <v>kraav</v>
      </c>
      <c r="D515" s="17">
        <f>VLOOKUP(A515,Uhikhinnad!$A$6:$F$156,3,FALSE)</f>
        <v>0</v>
      </c>
      <c r="E515" s="18" t="str">
        <f>VLOOKUP(A515,Uhikhinnad!$A$6:$F$156,4,FALSE)</f>
        <v>m</v>
      </c>
      <c r="F515" s="19">
        <v>0</v>
      </c>
      <c r="G515" s="18">
        <f>VLOOKUP(A515,Uhikhinnad!$A$6:$F$156,5,FALSE)</f>
        <v>100</v>
      </c>
      <c r="H515" s="18">
        <f>VLOOKUP(A515,Uhikhinnad!$A$6:$F$156,6,FALSE)</f>
        <v>0</v>
      </c>
      <c r="I515" s="35">
        <f t="shared" si="20"/>
        <v>0</v>
      </c>
      <c r="J515" s="49"/>
    </row>
    <row r="516" spans="1:10" ht="11.25">
      <c r="A516" s="52" t="s">
        <v>174</v>
      </c>
      <c r="B516" s="55" t="s">
        <v>130</v>
      </c>
      <c r="C516" s="17" t="str">
        <f>VLOOKUP(A516,Uhikhinnad!$A$6:$F$156,2,FALSE)</f>
        <v>kraavi rajamine </v>
      </c>
      <c r="D516" s="17">
        <f>VLOOKUP(A516,Uhikhinnad!$A$6:$F$156,3,FALSE)</f>
        <v>0</v>
      </c>
      <c r="E516" s="18" t="str">
        <f>VLOOKUP(A516,Uhikhinnad!$A$6:$F$156,4,FALSE)</f>
        <v>m</v>
      </c>
      <c r="F516" s="19">
        <v>0</v>
      </c>
      <c r="G516" s="18">
        <f>VLOOKUP(A516,Uhikhinnad!$A$6:$F$156,5,FALSE)</f>
        <v>200</v>
      </c>
      <c r="H516" s="18">
        <f>VLOOKUP(A516,Uhikhinnad!$A$6:$F$156,6,FALSE)</f>
        <v>0</v>
      </c>
      <c r="I516" s="35">
        <f t="shared" si="20"/>
        <v>0</v>
      </c>
      <c r="J516" s="49"/>
    </row>
    <row r="517" spans="1:10" ht="11.25">
      <c r="A517" s="52" t="s">
        <v>175</v>
      </c>
      <c r="B517" s="55" t="s">
        <v>130</v>
      </c>
      <c r="C517" s="17" t="str">
        <f>VLOOKUP(A517,Uhikhinnad!$A$6:$F$156,2,FALSE)</f>
        <v>kraavi puhastamine</v>
      </c>
      <c r="D517" s="17">
        <f>VLOOKUP(A517,Uhikhinnad!$A$6:$F$156,3,FALSE)</f>
        <v>0</v>
      </c>
      <c r="E517" s="18" t="str">
        <f>VLOOKUP(A517,Uhikhinnad!$A$6:$F$156,4,FALSE)</f>
        <v>m</v>
      </c>
      <c r="F517" s="19">
        <v>0</v>
      </c>
      <c r="G517" s="18">
        <f>VLOOKUP(A517,Uhikhinnad!$A$6:$F$156,5,FALSE)</f>
        <v>0</v>
      </c>
      <c r="H517" s="18">
        <f>VLOOKUP(A517,Uhikhinnad!$A$6:$F$156,6,FALSE)</f>
        <v>0</v>
      </c>
      <c r="I517" s="35">
        <f t="shared" si="20"/>
        <v>0</v>
      </c>
      <c r="J517" s="49"/>
    </row>
    <row r="518" spans="1:10" ht="11.25">
      <c r="A518" s="52">
        <v>506</v>
      </c>
      <c r="B518" s="55" t="s">
        <v>130</v>
      </c>
      <c r="C518" s="17" t="str">
        <f>VLOOKUP(A518,Uhikhinnad!$A$6:$F$156,2,FALSE)</f>
        <v>truup</v>
      </c>
      <c r="D518" s="17" t="str">
        <f>VLOOKUP(A518,Uhikhinnad!$A$6:$F$156,3,FALSE)</f>
        <v>betoon</v>
      </c>
      <c r="E518" s="18" t="str">
        <f>VLOOKUP(A518,Uhikhinnad!$A$6:$F$156,4,FALSE)</f>
        <v>m</v>
      </c>
      <c r="F518" s="19">
        <v>0</v>
      </c>
      <c r="G518" s="18">
        <f>VLOOKUP(A518,Uhikhinnad!$A$6:$F$156,5,FALSE)</f>
        <v>0</v>
      </c>
      <c r="H518" s="18">
        <f>VLOOKUP(A518,Uhikhinnad!$A$6:$F$156,6,FALSE)</f>
        <v>0</v>
      </c>
      <c r="I518" s="35">
        <f t="shared" si="20"/>
        <v>0</v>
      </c>
      <c r="J518" s="49"/>
    </row>
    <row r="519" spans="1:10" ht="11.25">
      <c r="A519" s="52" t="s">
        <v>264</v>
      </c>
      <c r="B519" s="55" t="s">
        <v>130</v>
      </c>
      <c r="C519" s="17" t="str">
        <f>VLOOKUP(A519,Uhikhinnad!$A$6:$F$156,2,FALSE)</f>
        <v>truup</v>
      </c>
      <c r="D519" s="17" t="str">
        <f>VLOOKUP(A519,Uhikhinnad!$A$6:$F$156,3,FALSE)</f>
        <v>plast</v>
      </c>
      <c r="E519" s="18" t="str">
        <f>VLOOKUP(A519,Uhikhinnad!$A$6:$F$156,4,FALSE)</f>
        <v>m</v>
      </c>
      <c r="F519" s="19">
        <v>0</v>
      </c>
      <c r="G519" s="18">
        <f>VLOOKUP(A519,Uhikhinnad!$A$6:$F$156,5,FALSE)</f>
        <v>0</v>
      </c>
      <c r="H519" s="18">
        <f>VLOOKUP(A519,Uhikhinnad!$A$6:$F$156,6,FALSE)</f>
        <v>0</v>
      </c>
      <c r="I519" s="35">
        <f t="shared" si="20"/>
        <v>0</v>
      </c>
      <c r="J519" s="49"/>
    </row>
    <row r="520" spans="1:10" ht="11.25">
      <c r="A520" s="52" t="s">
        <v>265</v>
      </c>
      <c r="B520" s="55" t="s">
        <v>130</v>
      </c>
      <c r="C520" s="17" t="str">
        <f>VLOOKUP(A520,Uhikhinnad!$A$6:$F$156,2,FALSE)</f>
        <v>truup</v>
      </c>
      <c r="D520" s="17">
        <f>VLOOKUP(A520,Uhikhinnad!$A$6:$F$156,3,FALSE)</f>
        <v>0</v>
      </c>
      <c r="E520" s="18" t="str">
        <f>VLOOKUP(A520,Uhikhinnad!$A$6:$F$156,4,FALSE)</f>
        <v>m</v>
      </c>
      <c r="F520" s="19">
        <v>0</v>
      </c>
      <c r="G520" s="18">
        <f>VLOOKUP(A520,Uhikhinnad!$A$6:$F$156,5,FALSE)</f>
        <v>0</v>
      </c>
      <c r="H520" s="18">
        <f>VLOOKUP(A520,Uhikhinnad!$A$6:$F$156,6,FALSE)</f>
        <v>0</v>
      </c>
      <c r="I520" s="35">
        <f t="shared" si="20"/>
        <v>0</v>
      </c>
      <c r="J520" s="49"/>
    </row>
    <row r="521" spans="1:10" ht="11.25">
      <c r="A521" s="52">
        <v>507</v>
      </c>
      <c r="B521" s="55" t="s">
        <v>130</v>
      </c>
      <c r="C521" s="17" t="str">
        <f>VLOOKUP(A521,Uhikhinnad!$A$6:$F$156,2,FALSE)</f>
        <v>sademevee restkaev</v>
      </c>
      <c r="D521" s="17" t="str">
        <f>VLOOKUP(A521,Uhikhinnad!$A$6:$F$156,3,FALSE)</f>
        <v>Liivapüüduriga kaev</v>
      </c>
      <c r="E521" s="18" t="str">
        <f>VLOOKUP(A521,Uhikhinnad!$A$6:$F$156,4,FALSE)</f>
        <v>tk</v>
      </c>
      <c r="F521" s="19">
        <v>0</v>
      </c>
      <c r="G521" s="18">
        <f>VLOOKUP(A521,Uhikhinnad!$A$6:$F$156,5,FALSE)</f>
        <v>1500</v>
      </c>
      <c r="H521" s="18">
        <f>VLOOKUP(A521,Uhikhinnad!$A$6:$F$156,6,FALSE)</f>
        <v>0</v>
      </c>
      <c r="I521" s="35">
        <f t="shared" si="20"/>
        <v>0</v>
      </c>
      <c r="J521" s="49"/>
    </row>
    <row r="522" spans="1:10" ht="11.25">
      <c r="A522" s="52">
        <v>508</v>
      </c>
      <c r="B522" s="55" t="s">
        <v>130</v>
      </c>
      <c r="C522" s="17" t="str">
        <f>VLOOKUP(A522,Uhikhinnad!$A$6:$F$156,2,FALSE)</f>
        <v>sademevee liivapüüdur</v>
      </c>
      <c r="D522" s="17">
        <f>VLOOKUP(A522,Uhikhinnad!$A$6:$F$156,3,FALSE)</f>
        <v>0</v>
      </c>
      <c r="E522" s="18">
        <f>VLOOKUP(A522,Uhikhinnad!$A$6:$F$156,4,FALSE)</f>
        <v>0</v>
      </c>
      <c r="F522" s="19">
        <v>0</v>
      </c>
      <c r="G522" s="18">
        <f>VLOOKUP(A522,Uhikhinnad!$A$6:$F$156,5,FALSE)</f>
        <v>0</v>
      </c>
      <c r="H522" s="18">
        <f>VLOOKUP(A522,Uhikhinnad!$A$6:$F$156,6,FALSE)</f>
        <v>0</v>
      </c>
      <c r="I522" s="35">
        <f t="shared" si="20"/>
        <v>0</v>
      </c>
      <c r="J522" s="49"/>
    </row>
    <row r="523" spans="1:10" ht="11.25">
      <c r="A523" s="52">
        <v>509</v>
      </c>
      <c r="B523" s="55" t="s">
        <v>130</v>
      </c>
      <c r="C523" s="17" t="str">
        <f>VLOOKUP(A523,Uhikhinnad!$A$6:$F$156,2,FALSE)</f>
        <v>sademevee õlipüüdur</v>
      </c>
      <c r="D523" s="17">
        <f>VLOOKUP(A523,Uhikhinnad!$A$6:$F$156,3,FALSE)</f>
        <v>0</v>
      </c>
      <c r="E523" s="18">
        <f>VLOOKUP(A523,Uhikhinnad!$A$6:$F$156,4,FALSE)</f>
        <v>0</v>
      </c>
      <c r="F523" s="19">
        <v>0</v>
      </c>
      <c r="G523" s="18">
        <f>VLOOKUP(A523,Uhikhinnad!$A$6:$F$156,5,FALSE)</f>
        <v>0</v>
      </c>
      <c r="H523" s="18">
        <f>VLOOKUP(A523,Uhikhinnad!$A$6:$F$156,6,FALSE)</f>
        <v>0</v>
      </c>
      <c r="I523" s="35">
        <f t="shared" si="20"/>
        <v>0</v>
      </c>
      <c r="J523" s="49"/>
    </row>
    <row r="524" ht="11.25" customHeight="1">
      <c r="C524" s="94"/>
    </row>
    <row r="526" spans="1:10" ht="11.25" customHeight="1">
      <c r="A526" s="52"/>
      <c r="B526" s="53"/>
      <c r="C526" s="12"/>
      <c r="D526" s="200" t="s">
        <v>61</v>
      </c>
      <c r="E526" s="200"/>
      <c r="F526" s="200"/>
      <c r="G526" s="200"/>
      <c r="H526" s="23"/>
      <c r="I526" s="37">
        <f>SUM(I400,I463)*(1+Uhikhinnad!$E$161)</f>
        <v>0</v>
      </c>
      <c r="J526" s="49"/>
    </row>
    <row r="527" spans="1:15" ht="11.25" customHeight="1">
      <c r="A527" s="52"/>
      <c r="B527" s="53"/>
      <c r="C527" s="30"/>
      <c r="D527" s="200" t="s">
        <v>62</v>
      </c>
      <c r="E527" s="200"/>
      <c r="F527" s="200"/>
      <c r="G527" s="200"/>
      <c r="H527" s="23"/>
      <c r="I527" s="37">
        <f>SUM(I431,I494)*(1+Uhikhinnad!$E$161)</f>
        <v>0</v>
      </c>
      <c r="J527" s="49"/>
      <c r="O527" s="56"/>
    </row>
    <row r="528" spans="1:15" ht="11.25">
      <c r="A528" s="20"/>
      <c r="B528" s="21"/>
      <c r="C528" s="13"/>
      <c r="D528" s="201" t="s">
        <v>13</v>
      </c>
      <c r="E528" s="201"/>
      <c r="F528" s="24"/>
      <c r="G528" s="24"/>
      <c r="H528" s="25"/>
      <c r="I528" s="38">
        <f>SUM(I526:I527)</f>
        <v>0</v>
      </c>
      <c r="J528" s="49"/>
      <c r="O528" s="56"/>
    </row>
  </sheetData>
  <sheetProtection/>
  <mergeCells count="9">
    <mergeCell ref="D526:G526"/>
    <mergeCell ref="D527:G527"/>
    <mergeCell ref="D528:E528"/>
    <mergeCell ref="D241:G241"/>
    <mergeCell ref="D242:G242"/>
    <mergeCell ref="D243:E243"/>
    <mergeCell ref="D393:G393"/>
    <mergeCell ref="D394:G394"/>
    <mergeCell ref="D395:E39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="90" zoomScaleNormal="90" zoomScalePageLayoutView="0" workbookViewId="0" topLeftCell="B49">
      <selection activeCell="L52" sqref="L52"/>
    </sheetView>
  </sheetViews>
  <sheetFormatPr defaultColWidth="9.140625" defaultRowHeight="11.25" customHeight="1"/>
  <cols>
    <col min="1" max="1" width="12.421875" style="42" hidden="1" customWidth="1"/>
    <col min="2" max="2" width="47.28125" style="100" customWidth="1"/>
    <col min="3" max="3" width="31.140625" style="100" customWidth="1"/>
    <col min="4" max="4" width="6.8515625" style="100" customWidth="1"/>
    <col min="5" max="5" width="7.57421875" style="100" customWidth="1"/>
    <col min="6" max="6" width="14.28125" style="103" customWidth="1"/>
    <col min="7" max="7" width="11.8515625" style="100" hidden="1" customWidth="1"/>
    <col min="8" max="8" width="16.00390625" style="59" bestFit="1" customWidth="1"/>
    <col min="9" max="9" width="9.140625" style="100" customWidth="1"/>
    <col min="10" max="10" width="9.28125" style="100" bestFit="1" customWidth="1"/>
    <col min="11" max="13" width="9.140625" style="100" customWidth="1"/>
    <col min="14" max="14" width="10.8515625" style="100" bestFit="1" customWidth="1"/>
    <col min="15" max="16384" width="9.140625" style="100" customWidth="1"/>
  </cols>
  <sheetData>
    <row r="1" spans="2:9" ht="11.25">
      <c r="B1" s="104" t="s">
        <v>317</v>
      </c>
      <c r="C1" s="98"/>
      <c r="D1" s="98"/>
      <c r="E1" s="98"/>
      <c r="F1" s="101"/>
      <c r="G1" s="98"/>
      <c r="H1" s="57"/>
      <c r="I1" s="98"/>
    </row>
    <row r="2" spans="2:9" ht="11.25">
      <c r="B2" s="104" t="s">
        <v>53</v>
      </c>
      <c r="C2" s="98"/>
      <c r="D2" s="98"/>
      <c r="E2" s="98"/>
      <c r="F2" s="101"/>
      <c r="G2" s="98"/>
      <c r="H2" s="57"/>
      <c r="I2" s="98"/>
    </row>
    <row r="3" spans="1:9" ht="11.25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  <c r="I3" s="99"/>
    </row>
    <row r="4" spans="1:13" ht="11.25">
      <c r="A4" s="7"/>
      <c r="B4" s="105" t="s">
        <v>41</v>
      </c>
      <c r="I4" s="99"/>
      <c r="J4" s="106"/>
      <c r="K4" s="106"/>
      <c r="L4" s="106"/>
      <c r="M4" s="106"/>
    </row>
    <row r="5" spans="1:13" ht="11.25">
      <c r="A5" s="7"/>
      <c r="B5" s="137" t="s">
        <v>72</v>
      </c>
      <c r="I5" s="99"/>
      <c r="J5" s="106"/>
      <c r="K5" s="106"/>
      <c r="L5" s="106"/>
      <c r="M5" s="106"/>
    </row>
    <row r="6" spans="1:13" ht="11.25">
      <c r="A6" s="7"/>
      <c r="B6" s="108" t="s">
        <v>87</v>
      </c>
      <c r="I6" s="99"/>
      <c r="J6" s="106"/>
      <c r="K6" s="106"/>
      <c r="L6" s="106"/>
      <c r="M6" s="106"/>
    </row>
    <row r="7" spans="1:13" ht="11.25">
      <c r="A7" s="7"/>
      <c r="B7" s="138" t="s">
        <v>89</v>
      </c>
      <c r="H7" s="142">
        <f>SUM(H8:H10)</f>
        <v>72500</v>
      </c>
      <c r="I7" s="99"/>
      <c r="K7" s="106"/>
      <c r="L7" s="106"/>
      <c r="M7" s="106"/>
    </row>
    <row r="8" spans="1:13" ht="11.25">
      <c r="A8" s="110"/>
      <c r="B8" s="111" t="s">
        <v>332</v>
      </c>
      <c r="C8" s="111"/>
      <c r="D8" s="112" t="s">
        <v>59</v>
      </c>
      <c r="E8" s="113">
        <v>1</v>
      </c>
      <c r="F8" s="112">
        <v>45500</v>
      </c>
      <c r="G8" s="112"/>
      <c r="H8" s="143">
        <f>E8*F8+G8</f>
        <v>45500</v>
      </c>
      <c r="I8" s="99"/>
      <c r="K8" s="106"/>
      <c r="L8" s="106"/>
      <c r="M8" s="106"/>
    </row>
    <row r="9" spans="1:13" ht="11.25">
      <c r="A9" s="7"/>
      <c r="B9" s="140" t="s">
        <v>333</v>
      </c>
      <c r="D9" s="112" t="s">
        <v>59</v>
      </c>
      <c r="E9" s="113">
        <v>1</v>
      </c>
      <c r="F9" s="103">
        <v>20000</v>
      </c>
      <c r="H9" s="143">
        <f>E9*F9+G9</f>
        <v>20000</v>
      </c>
      <c r="I9" s="99"/>
      <c r="K9" s="106"/>
      <c r="L9" s="106"/>
      <c r="M9" s="106"/>
    </row>
    <row r="10" spans="1:13" ht="11.25">
      <c r="A10" s="7"/>
      <c r="B10" s="140" t="s">
        <v>334</v>
      </c>
      <c r="D10" s="112" t="s">
        <v>59</v>
      </c>
      <c r="E10" s="113">
        <v>1</v>
      </c>
      <c r="F10" s="103">
        <v>7000</v>
      </c>
      <c r="H10" s="143">
        <f>E10*F10+G10</f>
        <v>7000</v>
      </c>
      <c r="I10" s="99"/>
      <c r="K10" s="106"/>
      <c r="L10" s="106"/>
      <c r="M10" s="106"/>
    </row>
    <row r="11" spans="1:13" ht="11.25" hidden="1">
      <c r="A11" s="7"/>
      <c r="B11" s="138" t="s">
        <v>90</v>
      </c>
      <c r="H11" s="142">
        <f>SUM(H12:H13)</f>
        <v>0</v>
      </c>
      <c r="I11" s="99"/>
      <c r="L11" s="106"/>
      <c r="M11" s="106"/>
    </row>
    <row r="12" spans="1:13" ht="11.25" hidden="1">
      <c r="A12" s="7"/>
      <c r="B12" s="138"/>
      <c r="H12" s="147"/>
      <c r="I12" s="99"/>
      <c r="L12" s="106"/>
      <c r="M12" s="106"/>
    </row>
    <row r="13" spans="1:13" ht="11.25" hidden="1">
      <c r="A13" s="7"/>
      <c r="B13" s="138"/>
      <c r="H13" s="147"/>
      <c r="I13" s="99"/>
      <c r="L13" s="106"/>
      <c r="M13" s="106"/>
    </row>
    <row r="14" spans="1:13" ht="11.25" hidden="1">
      <c r="A14" s="7"/>
      <c r="B14" s="108" t="s">
        <v>271</v>
      </c>
      <c r="H14" s="141"/>
      <c r="I14" s="99"/>
      <c r="J14" s="106"/>
      <c r="K14" s="106"/>
      <c r="L14" s="106"/>
      <c r="M14" s="106"/>
    </row>
    <row r="15" spans="1:13" ht="11.25" hidden="1">
      <c r="A15" s="7"/>
      <c r="B15" s="138" t="s">
        <v>91</v>
      </c>
      <c r="H15" s="142">
        <f>SUM(H16:H17)</f>
        <v>0</v>
      </c>
      <c r="I15" s="99"/>
      <c r="K15" s="106"/>
      <c r="L15" s="106"/>
      <c r="M15" s="106"/>
    </row>
    <row r="16" spans="1:13" ht="11.25" hidden="1">
      <c r="A16" s="7"/>
      <c r="B16" s="138"/>
      <c r="H16" s="147"/>
      <c r="I16" s="99"/>
      <c r="K16" s="106"/>
      <c r="L16" s="106"/>
      <c r="M16" s="106"/>
    </row>
    <row r="17" spans="1:13" ht="11.25" hidden="1">
      <c r="A17" s="7"/>
      <c r="B17" s="138"/>
      <c r="H17" s="147"/>
      <c r="I17" s="99"/>
      <c r="K17" s="106"/>
      <c r="L17" s="106"/>
      <c r="M17" s="106"/>
    </row>
    <row r="18" spans="1:13" ht="11.25" hidden="1">
      <c r="A18" s="7"/>
      <c r="B18" s="138" t="s">
        <v>92</v>
      </c>
      <c r="H18" s="142">
        <f>SUM(H19:H20)</f>
        <v>0</v>
      </c>
      <c r="I18" s="133"/>
      <c r="L18" s="106"/>
      <c r="M18" s="106"/>
    </row>
    <row r="19" spans="1:13" ht="11.25" hidden="1">
      <c r="A19" s="7"/>
      <c r="B19" s="138"/>
      <c r="H19" s="147"/>
      <c r="I19" s="133"/>
      <c r="L19" s="106"/>
      <c r="M19" s="106"/>
    </row>
    <row r="20" spans="1:13" ht="11.25" hidden="1">
      <c r="A20" s="7"/>
      <c r="B20" s="138"/>
      <c r="H20" s="147"/>
      <c r="I20" s="133"/>
      <c r="L20" s="106"/>
      <c r="M20" s="106"/>
    </row>
    <row r="21" spans="1:13" ht="11.25">
      <c r="A21" s="7"/>
      <c r="B21" s="137" t="s">
        <v>73</v>
      </c>
      <c r="H21" s="141"/>
      <c r="I21" s="99"/>
      <c r="L21" s="106"/>
      <c r="M21" s="106"/>
    </row>
    <row r="22" spans="1:9" ht="11.25">
      <c r="A22" s="110"/>
      <c r="B22" s="108" t="s">
        <v>272</v>
      </c>
      <c r="C22" s="116"/>
      <c r="D22" s="117"/>
      <c r="E22" s="118"/>
      <c r="F22" s="117"/>
      <c r="G22" s="117"/>
      <c r="H22" s="144"/>
      <c r="I22" s="99"/>
    </row>
    <row r="23" spans="1:9" ht="11.25">
      <c r="A23" s="110"/>
      <c r="B23" s="138" t="s">
        <v>273</v>
      </c>
      <c r="C23" s="116"/>
      <c r="D23" s="117"/>
      <c r="E23" s="118"/>
      <c r="F23" s="117"/>
      <c r="G23" s="117"/>
      <c r="H23" s="142">
        <f>SUM(H24:H25)</f>
        <v>162240</v>
      </c>
      <c r="I23" s="99"/>
    </row>
    <row r="24" spans="1:9" ht="11.25">
      <c r="A24" s="110" t="s">
        <v>163</v>
      </c>
      <c r="B24" s="111" t="str">
        <f>VLOOKUP(A24,Uhikhinnad!$A$6:$F$156,2,FALSE)</f>
        <v>veetoru</v>
      </c>
      <c r="C24" s="111" t="str">
        <f>VLOOKUP(A24,Uhikhinnad!$A$6:$F$156,3,FALSE)</f>
        <v>De32-De110</v>
      </c>
      <c r="D24" s="112" t="str">
        <f>VLOOKUP(A24,Uhikhinnad!$A$6:$F$156,4,FALSE)</f>
        <v>m</v>
      </c>
      <c r="E24" s="113">
        <v>1930</v>
      </c>
      <c r="F24" s="112">
        <v>80</v>
      </c>
      <c r="G24" s="112">
        <f>VLOOKUP(A24,Uhikhinnad!$A$6:$F$156,6,FALSE)</f>
        <v>0</v>
      </c>
      <c r="H24" s="143">
        <f>E24*F24+G24</f>
        <v>154400</v>
      </c>
      <c r="I24" s="99"/>
    </row>
    <row r="25" spans="1:9" ht="11.25">
      <c r="A25" s="110">
        <v>202</v>
      </c>
      <c r="B25" s="111" t="str">
        <f>VLOOKUP(A25,Uhikhinnad!$A$6:$F$156,2,FALSE)</f>
        <v>majaühendus</v>
      </c>
      <c r="C25" s="111" t="str">
        <f>VLOOKUP(A25,Uhikhinnad!$A$6:$F$156,3,FALSE)</f>
        <v>Toru, maakraan, otsakork</v>
      </c>
      <c r="D25" s="112" t="str">
        <f>VLOOKUP(A25,Uhikhinnad!$A$6:$F$156,4,FALSE)</f>
        <v>kmpl</v>
      </c>
      <c r="E25" s="113">
        <v>28</v>
      </c>
      <c r="F25" s="112">
        <v>280</v>
      </c>
      <c r="G25" s="112">
        <f>VLOOKUP(A25,Uhikhinnad!$A$6:$F$156,6,FALSE)</f>
        <v>0</v>
      </c>
      <c r="H25" s="143">
        <f>E25*F25+G25</f>
        <v>7840</v>
      </c>
      <c r="I25" s="99"/>
    </row>
    <row r="26" spans="1:9" ht="11.25" hidden="1">
      <c r="A26" s="110"/>
      <c r="B26" s="138" t="s">
        <v>275</v>
      </c>
      <c r="C26" s="120"/>
      <c r="D26" s="99"/>
      <c r="E26" s="99"/>
      <c r="F26" s="102"/>
      <c r="G26" s="99"/>
      <c r="H26" s="142">
        <v>0</v>
      </c>
      <c r="I26" s="99"/>
    </row>
    <row r="27" spans="1:9" ht="11.25">
      <c r="A27" s="110"/>
      <c r="B27" s="108" t="s">
        <v>82</v>
      </c>
      <c r="C27" s="116"/>
      <c r="D27" s="117"/>
      <c r="E27" s="118"/>
      <c r="F27" s="117"/>
      <c r="G27" s="117"/>
      <c r="H27" s="144"/>
      <c r="I27" s="99"/>
    </row>
    <row r="28" spans="1:9" ht="11.25">
      <c r="A28" s="110"/>
      <c r="B28" s="138" t="s">
        <v>274</v>
      </c>
      <c r="C28" s="116"/>
      <c r="D28" s="117"/>
      <c r="E28" s="118"/>
      <c r="F28" s="117"/>
      <c r="G28" s="117"/>
      <c r="H28" s="142">
        <f>SUM(H29:H30)</f>
        <v>5520</v>
      </c>
      <c r="I28" s="99"/>
    </row>
    <row r="29" spans="1:9" ht="11.25">
      <c r="A29" s="110" t="s">
        <v>163</v>
      </c>
      <c r="B29" s="111" t="str">
        <f>VLOOKUP(A29,Uhikhinnad!$A$6:$F$156,2,FALSE)</f>
        <v>veetoru</v>
      </c>
      <c r="C29" s="111" t="str">
        <f>VLOOKUP(A29,Uhikhinnad!$A$6:$F$156,3,FALSE)</f>
        <v>De32-De110</v>
      </c>
      <c r="D29" s="112" t="str">
        <f>VLOOKUP(A29,Uhikhinnad!$A$6:$F$156,4,FALSE)</f>
        <v>m</v>
      </c>
      <c r="E29" s="113">
        <v>62</v>
      </c>
      <c r="F29" s="112">
        <v>80</v>
      </c>
      <c r="G29" s="112">
        <f>VLOOKUP(A29,Uhikhinnad!$A$6:$F$156,6,FALSE)</f>
        <v>0</v>
      </c>
      <c r="H29" s="143">
        <f>E29*F29+G29</f>
        <v>4960</v>
      </c>
      <c r="I29" s="99"/>
    </row>
    <row r="30" spans="1:9" ht="11.25">
      <c r="A30" s="110">
        <v>202</v>
      </c>
      <c r="B30" s="111" t="str">
        <f>VLOOKUP(A30,Uhikhinnad!$A$6:$F$156,2,FALSE)</f>
        <v>majaühendus</v>
      </c>
      <c r="C30" s="111" t="str">
        <f>VLOOKUP(A30,Uhikhinnad!$A$6:$F$156,3,FALSE)</f>
        <v>Toru, maakraan, otsakork</v>
      </c>
      <c r="D30" s="112" t="str">
        <f>VLOOKUP(A30,Uhikhinnad!$A$6:$F$156,4,FALSE)</f>
        <v>kmpl</v>
      </c>
      <c r="E30" s="113">
        <v>2</v>
      </c>
      <c r="F30" s="112">
        <v>280</v>
      </c>
      <c r="G30" s="112">
        <f>VLOOKUP(A30,Uhikhinnad!$A$6:$F$156,6,FALSE)</f>
        <v>0</v>
      </c>
      <c r="H30" s="143">
        <f>E30*F30+G30</f>
        <v>560</v>
      </c>
      <c r="I30" s="99"/>
    </row>
    <row r="31" spans="1:9" ht="11.25">
      <c r="A31" s="110"/>
      <c r="B31" s="138" t="s">
        <v>276</v>
      </c>
      <c r="C31" s="120"/>
      <c r="D31" s="99"/>
      <c r="E31" s="99"/>
      <c r="F31" s="102"/>
      <c r="G31" s="99"/>
      <c r="H31" s="142">
        <f>SUM(H32:H33)</f>
        <v>28400</v>
      </c>
      <c r="I31" s="99"/>
    </row>
    <row r="32" spans="1:13" s="98" customFormat="1" ht="11.25">
      <c r="A32" s="110" t="s">
        <v>163</v>
      </c>
      <c r="B32" s="111" t="str">
        <f>VLOOKUP(A32,Uhikhinnad!$A$6:$F$156,2,FALSE)</f>
        <v>veetoru</v>
      </c>
      <c r="C32" s="111" t="str">
        <f>VLOOKUP(A32,Uhikhinnad!$A$6:$F$156,3,FALSE)</f>
        <v>De32-De110</v>
      </c>
      <c r="D32" s="112" t="str">
        <f>VLOOKUP(A32,Uhikhinnad!$A$6:$F$156,4,FALSE)</f>
        <v>m</v>
      </c>
      <c r="E32" s="113">
        <v>300</v>
      </c>
      <c r="F32" s="112">
        <v>90</v>
      </c>
      <c r="G32" s="112">
        <f>VLOOKUP(A32,Uhikhinnad!$A$6:$F$156,6,FALSE)</f>
        <v>0</v>
      </c>
      <c r="H32" s="143">
        <f>E32*F32+G32</f>
        <v>27000</v>
      </c>
      <c r="I32" s="99"/>
      <c r="J32" s="100"/>
      <c r="K32" s="115"/>
      <c r="L32" s="115"/>
      <c r="M32" s="115"/>
    </row>
    <row r="33" spans="1:13" s="98" customFormat="1" ht="11.25">
      <c r="A33" s="110">
        <v>202</v>
      </c>
      <c r="B33" s="111" t="str">
        <f>VLOOKUP(A33,Uhikhinnad!$A$6:$F$156,2,FALSE)</f>
        <v>majaühendus</v>
      </c>
      <c r="C33" s="111" t="str">
        <f>VLOOKUP(A33,Uhikhinnad!$A$6:$F$156,3,FALSE)</f>
        <v>Toru, maakraan, otsakork</v>
      </c>
      <c r="D33" s="112" t="str">
        <f>VLOOKUP(A33,Uhikhinnad!$A$6:$F$156,4,FALSE)</f>
        <v>kmpl</v>
      </c>
      <c r="E33" s="113">
        <v>5</v>
      </c>
      <c r="F33" s="112">
        <v>280</v>
      </c>
      <c r="G33" s="112">
        <f>VLOOKUP(A33,Uhikhinnad!$A$6:$F$156,6,FALSE)</f>
        <v>0</v>
      </c>
      <c r="H33" s="143">
        <f>E33*F33+G33</f>
        <v>1400</v>
      </c>
      <c r="I33" s="99"/>
      <c r="J33" s="100"/>
      <c r="K33" s="115"/>
      <c r="L33" s="115"/>
      <c r="M33" s="115"/>
    </row>
    <row r="34" spans="1:9" ht="11.25" customHeight="1">
      <c r="A34" s="110"/>
      <c r="B34" s="204" t="s">
        <v>364</v>
      </c>
      <c r="C34" s="204"/>
      <c r="D34" s="204"/>
      <c r="E34" s="204"/>
      <c r="F34" s="204"/>
      <c r="G34" s="204"/>
      <c r="H34" s="144">
        <f>SUM(H7,H15,H23,H28)*(1+13.5%)</f>
        <v>272695.1</v>
      </c>
      <c r="I34" s="99"/>
    </row>
    <row r="35" spans="1:9" ht="11.25" customHeight="1">
      <c r="A35" s="110"/>
      <c r="B35" s="204" t="s">
        <v>62</v>
      </c>
      <c r="C35" s="204"/>
      <c r="D35" s="204"/>
      <c r="E35" s="204"/>
      <c r="F35" s="204"/>
      <c r="G35" s="204"/>
      <c r="H35" s="144">
        <f>SUM(H11,H18,H26,H31)*(1+Uhikhinnad!$E$161)</f>
        <v>32659.999999999996</v>
      </c>
      <c r="I35" s="99"/>
    </row>
    <row r="36" spans="1:9" ht="11.25">
      <c r="A36" s="110"/>
      <c r="B36" s="205" t="s">
        <v>45</v>
      </c>
      <c r="C36" s="205"/>
      <c r="D36" s="205"/>
      <c r="E36" s="205"/>
      <c r="F36" s="205"/>
      <c r="G36" s="205"/>
      <c r="H36" s="145">
        <f>SUM(H34:H35)</f>
        <v>305355.1</v>
      </c>
      <c r="I36" s="99"/>
    </row>
    <row r="37" spans="1:9" ht="11.25">
      <c r="A37" s="124"/>
      <c r="B37" s="105" t="s">
        <v>32</v>
      </c>
      <c r="C37" s="116"/>
      <c r="D37" s="117"/>
      <c r="E37" s="118"/>
      <c r="F37" s="117"/>
      <c r="G37" s="117"/>
      <c r="H37" s="125"/>
      <c r="I37" s="99"/>
    </row>
    <row r="38" spans="1:9" ht="11.25">
      <c r="A38" s="124"/>
      <c r="B38" s="137" t="s">
        <v>74</v>
      </c>
      <c r="C38" s="116"/>
      <c r="D38" s="117"/>
      <c r="E38" s="118"/>
      <c r="F38" s="117"/>
      <c r="G38" s="117"/>
      <c r="H38" s="125"/>
      <c r="I38" s="99"/>
    </row>
    <row r="39" spans="1:9" ht="11.25">
      <c r="A39" s="110"/>
      <c r="B39" s="105" t="s">
        <v>270</v>
      </c>
      <c r="C39" s="126"/>
      <c r="D39" s="112"/>
      <c r="E39" s="139"/>
      <c r="F39" s="112"/>
      <c r="G39" s="126"/>
      <c r="H39" s="119"/>
      <c r="I39" s="99"/>
    </row>
    <row r="40" spans="1:9" ht="11.25">
      <c r="A40" s="110"/>
      <c r="B40" s="138" t="s">
        <v>279</v>
      </c>
      <c r="C40" s="128"/>
      <c r="D40" s="112"/>
      <c r="E40" s="139"/>
      <c r="F40" s="112"/>
      <c r="G40" s="126"/>
      <c r="H40" s="142">
        <f>SUM(H41:H44)</f>
        <v>140310</v>
      </c>
      <c r="I40" s="99"/>
    </row>
    <row r="41" spans="1:9" ht="11.25">
      <c r="A41" s="110" t="s">
        <v>152</v>
      </c>
      <c r="B41" s="111" t="str">
        <f>VLOOKUP(A41,Uhikhinnad!$A$6:$F$156,2,FALSE)</f>
        <v>isevoolne kan.toru </v>
      </c>
      <c r="C41" s="111" t="str">
        <f>VLOOKUP(A41,Uhikhinnad!$A$6:$F$156,3,FALSE)</f>
        <v>De160-De315</v>
      </c>
      <c r="D41" s="112" t="str">
        <f>VLOOKUP(A41,Uhikhinnad!$A$6:$F$156,4,FALSE)</f>
        <v>m</v>
      </c>
      <c r="E41" s="113">
        <v>1160</v>
      </c>
      <c r="F41" s="112">
        <v>95</v>
      </c>
      <c r="G41" s="112">
        <f>VLOOKUP(A41,Uhikhinnad!$A$6:$F$156,6,FALSE)</f>
        <v>0</v>
      </c>
      <c r="H41" s="143">
        <f>E41*F41+G41</f>
        <v>110200</v>
      </c>
      <c r="I41" s="99"/>
    </row>
    <row r="42" spans="1:9" ht="11.25">
      <c r="A42" s="110" t="s">
        <v>160</v>
      </c>
      <c r="B42" s="111" t="str">
        <f>VLOOKUP(A42,Uhikhinnad!$A$6:$F$156,2,FALSE)</f>
        <v>väike reoveepumpla </v>
      </c>
      <c r="C42" s="111" t="str">
        <f>VLOOKUP(A42,Uhikhinnad!$A$6:$F$156,3,FALSE)</f>
        <v>Qarv ≤ 5 l/s</v>
      </c>
      <c r="D42" s="112" t="str">
        <f>VLOOKUP(A42,Uhikhinnad!$A$6:$F$156,4,FALSE)</f>
        <v>kmpl</v>
      </c>
      <c r="E42" s="113">
        <v>1</v>
      </c>
      <c r="F42" s="112">
        <v>20000</v>
      </c>
      <c r="G42" s="112">
        <f>VLOOKUP(A42,Uhikhinnad!$A$6:$F$156,6,FALSE)</f>
        <v>0</v>
      </c>
      <c r="H42" s="143">
        <f>E42*F42+G42</f>
        <v>20000</v>
      </c>
      <c r="I42" s="99"/>
    </row>
    <row r="43" spans="1:9" ht="11.25">
      <c r="A43" s="110">
        <v>302</v>
      </c>
      <c r="B43" s="111" t="str">
        <f>VLOOKUP(A43,Uhikhinnad!$A$6:$F$156,2,FALSE)</f>
        <v>survekanalisatsioonitoru</v>
      </c>
      <c r="C43" s="111">
        <f>VLOOKUP(A43,Uhikhinnad!$A$6:$F$156,3,FALSE)</f>
        <v>0</v>
      </c>
      <c r="D43" s="112" t="str">
        <f>VLOOKUP(A43,Uhikhinnad!$A$6:$F$156,4,FALSE)</f>
        <v>m</v>
      </c>
      <c r="E43" s="113">
        <v>82</v>
      </c>
      <c r="F43" s="112">
        <v>55</v>
      </c>
      <c r="G43" s="112">
        <f>VLOOKUP(A43,Uhikhinnad!$A$6:$F$156,6,FALSE)</f>
        <v>0</v>
      </c>
      <c r="H43" s="143">
        <f>E43*F43+G43</f>
        <v>4510</v>
      </c>
      <c r="I43" s="99"/>
    </row>
    <row r="44" spans="1:9" ht="11.25">
      <c r="A44" s="110">
        <v>304</v>
      </c>
      <c r="B44" s="111" t="str">
        <f>VLOOKUP(A44,Uhikhinnad!$A$6:$F$156,2,FALSE)</f>
        <v>majaühendus</v>
      </c>
      <c r="C44" s="111" t="str">
        <f>VLOOKUP(A44,Uhikhinnad!$A$6:$F$156,3,FALSE)</f>
        <v>Kontrollkaev De200, torustik ja otsakork</v>
      </c>
      <c r="D44" s="112" t="str">
        <f>VLOOKUP(A44,Uhikhinnad!$A$6:$F$156,4,FALSE)</f>
        <v>kmpl</v>
      </c>
      <c r="E44" s="113">
        <v>20</v>
      </c>
      <c r="F44" s="112">
        <v>280</v>
      </c>
      <c r="G44" s="112">
        <f>VLOOKUP(A44,Uhikhinnad!$A$6:$F$156,6,FALSE)</f>
        <v>0</v>
      </c>
      <c r="H44" s="143">
        <f>E44*F44+G44</f>
        <v>5600</v>
      </c>
      <c r="I44" s="99"/>
    </row>
    <row r="45" spans="1:11" ht="11.25" hidden="1">
      <c r="A45" s="110"/>
      <c r="B45" s="138" t="s">
        <v>277</v>
      </c>
      <c r="C45" s="128"/>
      <c r="D45" s="112"/>
      <c r="E45" s="139"/>
      <c r="F45" s="112"/>
      <c r="G45" s="126"/>
      <c r="H45" s="142">
        <v>0</v>
      </c>
      <c r="I45" s="99"/>
      <c r="K45" s="106"/>
    </row>
    <row r="46" spans="1:9" ht="11.25">
      <c r="A46" s="110"/>
      <c r="B46" s="105" t="s">
        <v>123</v>
      </c>
      <c r="C46" s="126"/>
      <c r="D46" s="112"/>
      <c r="E46" s="139"/>
      <c r="F46" s="112"/>
      <c r="G46" s="126"/>
      <c r="H46" s="144"/>
      <c r="I46" s="99"/>
    </row>
    <row r="47" spans="1:9" ht="11.25">
      <c r="A47" s="110"/>
      <c r="B47" s="138" t="s">
        <v>280</v>
      </c>
      <c r="C47" s="128"/>
      <c r="D47" s="112"/>
      <c r="E47" s="139"/>
      <c r="F47" s="112"/>
      <c r="G47" s="126"/>
      <c r="H47" s="142">
        <f>SUM(H48:H51)</f>
        <v>88050</v>
      </c>
      <c r="I47" s="99"/>
    </row>
    <row r="48" spans="1:9" ht="11.25">
      <c r="A48" s="110" t="s">
        <v>152</v>
      </c>
      <c r="B48" s="111" t="str">
        <f>VLOOKUP(A48,Uhikhinnad!$A$6:$F$156,2,FALSE)</f>
        <v>isevoolne kan.toru </v>
      </c>
      <c r="C48" s="111" t="str">
        <f>VLOOKUP(A48,Uhikhinnad!$A$6:$F$156,3,FALSE)</f>
        <v>De160-De315</v>
      </c>
      <c r="D48" s="112" t="str">
        <f>VLOOKUP(A48,Uhikhinnad!$A$6:$F$156,4,FALSE)</f>
        <v>m</v>
      </c>
      <c r="E48" s="113">
        <v>375</v>
      </c>
      <c r="F48" s="112">
        <v>95</v>
      </c>
      <c r="G48" s="112">
        <f>VLOOKUP(A48,Uhikhinnad!$A$6:$F$156,6,FALSE)</f>
        <v>0</v>
      </c>
      <c r="H48" s="143">
        <f>E48*F48+G48</f>
        <v>35625</v>
      </c>
      <c r="I48" s="99"/>
    </row>
    <row r="49" spans="1:9" ht="11.25">
      <c r="A49" s="110" t="s">
        <v>160</v>
      </c>
      <c r="B49" s="111" t="str">
        <f>VLOOKUP(A49,Uhikhinnad!$A$6:$F$156,2,FALSE)</f>
        <v>väike reoveepumpla </v>
      </c>
      <c r="C49" s="111" t="str">
        <f>VLOOKUP(A49,Uhikhinnad!$A$6:$F$156,3,FALSE)</f>
        <v>Qarv ≤ 5 l/s</v>
      </c>
      <c r="D49" s="112" t="str">
        <f>VLOOKUP(A49,Uhikhinnad!$A$6:$F$156,4,FALSE)</f>
        <v>kmpl</v>
      </c>
      <c r="E49" s="113">
        <v>2</v>
      </c>
      <c r="F49" s="112">
        <v>20000</v>
      </c>
      <c r="G49" s="112">
        <f>VLOOKUP(A49,Uhikhinnad!$A$6:$F$156,6,FALSE)</f>
        <v>0</v>
      </c>
      <c r="H49" s="143">
        <f>E49*F49+G49</f>
        <v>40000</v>
      </c>
      <c r="I49" s="99"/>
    </row>
    <row r="50" spans="1:9" ht="11.25">
      <c r="A50" s="110">
        <v>302</v>
      </c>
      <c r="B50" s="111" t="str">
        <f>VLOOKUP(A50,Uhikhinnad!$A$6:$F$156,2,FALSE)</f>
        <v>survekanalisatsioonitoru</v>
      </c>
      <c r="C50" s="111">
        <f>VLOOKUP(A50,Uhikhinnad!$A$6:$F$156,3,FALSE)</f>
        <v>0</v>
      </c>
      <c r="D50" s="112" t="str">
        <f>VLOOKUP(A50,Uhikhinnad!$A$6:$F$156,4,FALSE)</f>
        <v>m</v>
      </c>
      <c r="E50" s="113">
        <v>175</v>
      </c>
      <c r="F50" s="112">
        <v>55</v>
      </c>
      <c r="G50" s="112">
        <f>VLOOKUP(A50,Uhikhinnad!$A$6:$F$156,6,FALSE)</f>
        <v>0</v>
      </c>
      <c r="H50" s="143">
        <f>E50*F50+G50</f>
        <v>9625</v>
      </c>
      <c r="I50" s="99"/>
    </row>
    <row r="51" spans="1:9" ht="11.25">
      <c r="A51" s="110">
        <v>304</v>
      </c>
      <c r="B51" s="111" t="str">
        <f>VLOOKUP(A51,Uhikhinnad!$A$6:$F$156,2,FALSE)</f>
        <v>majaühendus</v>
      </c>
      <c r="C51" s="111" t="str">
        <f>VLOOKUP(A51,Uhikhinnad!$A$6:$F$156,3,FALSE)</f>
        <v>Kontrollkaev De200, torustik ja otsakork</v>
      </c>
      <c r="D51" s="112" t="str">
        <f>VLOOKUP(A51,Uhikhinnad!$A$6:$F$156,4,FALSE)</f>
        <v>kmpl</v>
      </c>
      <c r="E51" s="113">
        <v>10</v>
      </c>
      <c r="F51" s="112">
        <v>280</v>
      </c>
      <c r="G51" s="112">
        <f>VLOOKUP(A51,Uhikhinnad!$A$6:$F$156,6,FALSE)</f>
        <v>0</v>
      </c>
      <c r="H51" s="143">
        <f>E51*F51+G51</f>
        <v>2800</v>
      </c>
      <c r="I51" s="99"/>
    </row>
    <row r="52" spans="1:11" ht="11.25">
      <c r="A52" s="110"/>
      <c r="B52" s="138" t="s">
        <v>278</v>
      </c>
      <c r="C52" s="128"/>
      <c r="D52" s="112"/>
      <c r="E52" s="139"/>
      <c r="F52" s="112"/>
      <c r="G52" s="126"/>
      <c r="H52" s="142">
        <f>SUM(H53:H56)</f>
        <v>66350</v>
      </c>
      <c r="I52" s="99"/>
      <c r="K52" s="106"/>
    </row>
    <row r="53" spans="1:9" ht="11.25">
      <c r="A53" s="110" t="s">
        <v>152</v>
      </c>
      <c r="B53" s="111" t="str">
        <f>VLOOKUP(A53,Uhikhinnad!$A$6:$F$156,2,FALSE)</f>
        <v>isevoolne kan.toru </v>
      </c>
      <c r="C53" s="111" t="str">
        <f>VLOOKUP(A53,Uhikhinnad!$A$6:$F$156,3,FALSE)</f>
        <v>De160-De315</v>
      </c>
      <c r="D53" s="112" t="str">
        <f>VLOOKUP(A53,Uhikhinnad!$A$6:$F$156,4,FALSE)</f>
        <v>m</v>
      </c>
      <c r="E53" s="113">
        <v>210</v>
      </c>
      <c r="F53" s="112">
        <v>135</v>
      </c>
      <c r="G53" s="112">
        <f>VLOOKUP(A53,Uhikhinnad!$A$6:$F$156,6,FALSE)</f>
        <v>0</v>
      </c>
      <c r="H53" s="143">
        <f>E53*F53+G53</f>
        <v>28350</v>
      </c>
      <c r="I53" s="99"/>
    </row>
    <row r="54" spans="1:9" ht="11.25">
      <c r="A54" s="110" t="s">
        <v>153</v>
      </c>
      <c r="B54" s="111" t="str">
        <f>VLOOKUP(A54,Uhikhinnad!$A$6:$F$156,2,FALSE)</f>
        <v>survekanalisatsioonitoru</v>
      </c>
      <c r="C54" s="111" t="str">
        <f>VLOOKUP(A54,Uhikhinnad!$A$6:$F$156,3,FALSE)</f>
        <v>De63-De110</v>
      </c>
      <c r="D54" s="112" t="str">
        <f>VLOOKUP(A54,Uhikhinnad!$A$6:$F$156,4,FALSE)</f>
        <v>m</v>
      </c>
      <c r="E54" s="113">
        <v>95</v>
      </c>
      <c r="F54" s="112">
        <v>80</v>
      </c>
      <c r="G54" s="112">
        <f>VLOOKUP(A54,Uhikhinnad!$A$6:$F$156,6,FALSE)</f>
        <v>0</v>
      </c>
      <c r="H54" s="143">
        <f>E54*F54+G54</f>
        <v>7600</v>
      </c>
      <c r="I54" s="99"/>
    </row>
    <row r="55" spans="1:9" ht="11.25">
      <c r="A55" s="110" t="s">
        <v>160</v>
      </c>
      <c r="B55" s="111" t="str">
        <f>VLOOKUP(A55,Uhikhinnad!$A$6:$F$156,2,FALSE)</f>
        <v>väike reoveepumpla </v>
      </c>
      <c r="C55" s="111" t="str">
        <f>VLOOKUP(A55,Uhikhinnad!$A$6:$F$156,3,FALSE)</f>
        <v>Qarv ≤ 5 l/s</v>
      </c>
      <c r="D55" s="112" t="str">
        <f>VLOOKUP(A55,Uhikhinnad!$A$6:$F$156,4,FALSE)</f>
        <v>kmpl</v>
      </c>
      <c r="E55" s="113">
        <v>1</v>
      </c>
      <c r="F55" s="112">
        <v>29000</v>
      </c>
      <c r="G55" s="112">
        <f>VLOOKUP(A55,Uhikhinnad!$A$6:$F$156,6,FALSE)</f>
        <v>0</v>
      </c>
      <c r="H55" s="143">
        <f>E55*F55+G55</f>
        <v>29000</v>
      </c>
      <c r="I55" s="99"/>
    </row>
    <row r="56" spans="1:9" ht="11.25">
      <c r="A56" s="110">
        <v>304</v>
      </c>
      <c r="B56" s="111" t="str">
        <f>VLOOKUP(A56,Uhikhinnad!$A$6:$F$156,2,FALSE)</f>
        <v>majaühendus</v>
      </c>
      <c r="C56" s="111" t="str">
        <f>VLOOKUP(A56,Uhikhinnad!$A$6:$F$156,3,FALSE)</f>
        <v>Kontrollkaev De200, torustik ja otsakork</v>
      </c>
      <c r="D56" s="112" t="str">
        <f>VLOOKUP(A56,Uhikhinnad!$A$6:$F$156,4,FALSE)</f>
        <v>kmpl</v>
      </c>
      <c r="E56" s="113">
        <v>5</v>
      </c>
      <c r="F56" s="112">
        <v>280</v>
      </c>
      <c r="G56" s="112">
        <f>VLOOKUP(A56,Uhikhinnad!$A$6:$F$156,6,FALSE)</f>
        <v>0</v>
      </c>
      <c r="H56" s="143">
        <f>E56*F56+G56</f>
        <v>1400</v>
      </c>
      <c r="I56" s="99"/>
    </row>
    <row r="57" spans="1:9" ht="11.25">
      <c r="A57" s="124"/>
      <c r="B57" s="137" t="s">
        <v>75</v>
      </c>
      <c r="C57" s="116"/>
      <c r="D57" s="117"/>
      <c r="E57" s="118"/>
      <c r="F57" s="117"/>
      <c r="G57" s="117"/>
      <c r="H57" s="146"/>
      <c r="I57" s="99"/>
    </row>
    <row r="58" spans="1:9" ht="11.25">
      <c r="A58" s="110"/>
      <c r="B58" s="105" t="s">
        <v>287</v>
      </c>
      <c r="C58" s="126"/>
      <c r="D58" s="112"/>
      <c r="E58" s="139"/>
      <c r="F58" s="112"/>
      <c r="G58" s="126"/>
      <c r="H58" s="144"/>
      <c r="I58" s="99"/>
    </row>
    <row r="59" spans="1:9" ht="11.25">
      <c r="A59" s="110"/>
      <c r="B59" s="138" t="s">
        <v>93</v>
      </c>
      <c r="C59" s="128"/>
      <c r="D59" s="112"/>
      <c r="E59" s="139"/>
      <c r="F59" s="112"/>
      <c r="G59" s="126"/>
      <c r="H59" s="142">
        <f>SUM(H60:H71)</f>
        <v>502150</v>
      </c>
      <c r="I59" s="99"/>
    </row>
    <row r="60" spans="1:9" ht="22.5">
      <c r="A60" s="110"/>
      <c r="B60" s="150" t="s">
        <v>335</v>
      </c>
      <c r="C60" s="128"/>
      <c r="D60" s="112" t="s">
        <v>59</v>
      </c>
      <c r="E60" s="148">
        <v>1</v>
      </c>
      <c r="F60" s="149">
        <v>20000</v>
      </c>
      <c r="G60" s="126"/>
      <c r="H60" s="143">
        <f>E60*F60+G60</f>
        <v>20000</v>
      </c>
      <c r="I60" s="99"/>
    </row>
    <row r="61" spans="1:9" ht="11.25">
      <c r="A61" s="110"/>
      <c r="B61" s="150" t="s">
        <v>336</v>
      </c>
      <c r="C61" s="128"/>
      <c r="D61" s="112" t="s">
        <v>59</v>
      </c>
      <c r="E61" s="148">
        <v>1</v>
      </c>
      <c r="F61" s="149">
        <v>25000</v>
      </c>
      <c r="G61" s="126"/>
      <c r="H61" s="143">
        <f aca="true" t="shared" si="0" ref="H61:H71">E61*F61+G61</f>
        <v>25000</v>
      </c>
      <c r="I61" s="99"/>
    </row>
    <row r="62" spans="1:9" ht="11.25">
      <c r="A62" s="110"/>
      <c r="B62" s="150" t="s">
        <v>337</v>
      </c>
      <c r="C62" s="128"/>
      <c r="D62" s="112" t="s">
        <v>59</v>
      </c>
      <c r="E62" s="148">
        <v>1</v>
      </c>
      <c r="F62" s="149">
        <v>250000</v>
      </c>
      <c r="G62" s="126"/>
      <c r="H62" s="143">
        <f t="shared" si="0"/>
        <v>250000</v>
      </c>
      <c r="I62" s="99"/>
    </row>
    <row r="63" spans="1:9" ht="22.5">
      <c r="A63" s="110"/>
      <c r="B63" s="150" t="s">
        <v>338</v>
      </c>
      <c r="C63" s="128"/>
      <c r="D63" s="112" t="s">
        <v>59</v>
      </c>
      <c r="E63" s="148">
        <v>1</v>
      </c>
      <c r="F63" s="149">
        <v>90000</v>
      </c>
      <c r="G63" s="126"/>
      <c r="H63" s="143">
        <f t="shared" si="0"/>
        <v>90000</v>
      </c>
      <c r="I63" s="99"/>
    </row>
    <row r="64" spans="1:9" ht="22.5">
      <c r="A64" s="110"/>
      <c r="B64" s="150" t="s">
        <v>339</v>
      </c>
      <c r="C64" s="128"/>
      <c r="D64" s="112" t="s">
        <v>59</v>
      </c>
      <c r="E64" s="148">
        <v>1</v>
      </c>
      <c r="F64" s="149">
        <v>18000</v>
      </c>
      <c r="G64" s="126"/>
      <c r="H64" s="143">
        <f t="shared" si="0"/>
        <v>18000</v>
      </c>
      <c r="I64" s="99"/>
    </row>
    <row r="65" spans="1:9" ht="33.75">
      <c r="A65" s="110"/>
      <c r="B65" s="150" t="s">
        <v>340</v>
      </c>
      <c r="C65" s="128"/>
      <c r="D65" s="112" t="s">
        <v>59</v>
      </c>
      <c r="E65" s="148">
        <v>1</v>
      </c>
      <c r="F65" s="149">
        <v>30000</v>
      </c>
      <c r="G65" s="126"/>
      <c r="H65" s="143">
        <f t="shared" si="0"/>
        <v>30000</v>
      </c>
      <c r="I65" s="99"/>
    </row>
    <row r="66" spans="1:9" ht="22.5">
      <c r="A66" s="110"/>
      <c r="B66" s="150" t="s">
        <v>341</v>
      </c>
      <c r="C66" s="128"/>
      <c r="D66" s="112" t="s">
        <v>59</v>
      </c>
      <c r="E66" s="148">
        <v>1</v>
      </c>
      <c r="F66" s="149">
        <v>4500</v>
      </c>
      <c r="G66" s="126"/>
      <c r="H66" s="143">
        <f t="shared" si="0"/>
        <v>4500</v>
      </c>
      <c r="I66" s="99"/>
    </row>
    <row r="67" spans="1:9" ht="33.75">
      <c r="A67" s="110"/>
      <c r="B67" s="150" t="s">
        <v>342</v>
      </c>
      <c r="C67" s="128"/>
      <c r="D67" s="112" t="s">
        <v>25</v>
      </c>
      <c r="E67" s="148">
        <v>150</v>
      </c>
      <c r="F67" s="149">
        <v>35</v>
      </c>
      <c r="G67" s="126"/>
      <c r="H67" s="143">
        <f t="shared" si="0"/>
        <v>5250</v>
      </c>
      <c r="I67" s="99"/>
    </row>
    <row r="68" spans="1:9" ht="22.5">
      <c r="A68" s="110"/>
      <c r="B68" s="150" t="s">
        <v>343</v>
      </c>
      <c r="C68" s="128"/>
      <c r="D68" s="112" t="s">
        <v>25</v>
      </c>
      <c r="E68" s="148">
        <v>550</v>
      </c>
      <c r="F68" s="149">
        <v>20</v>
      </c>
      <c r="G68" s="126"/>
      <c r="H68" s="143">
        <f t="shared" si="0"/>
        <v>11000</v>
      </c>
      <c r="I68" s="99"/>
    </row>
    <row r="69" spans="1:9" ht="11.25">
      <c r="A69" s="110"/>
      <c r="B69" s="150" t="s">
        <v>344</v>
      </c>
      <c r="C69" s="128"/>
      <c r="D69" s="112" t="s">
        <v>36</v>
      </c>
      <c r="E69" s="148">
        <v>1300</v>
      </c>
      <c r="F69" s="149">
        <v>5</v>
      </c>
      <c r="G69" s="126"/>
      <c r="H69" s="143">
        <f t="shared" si="0"/>
        <v>6500</v>
      </c>
      <c r="I69" s="99"/>
    </row>
    <row r="70" spans="1:9" ht="22.5">
      <c r="A70" s="110"/>
      <c r="B70" s="150" t="s">
        <v>345</v>
      </c>
      <c r="C70" s="128"/>
      <c r="D70" s="112" t="s">
        <v>36</v>
      </c>
      <c r="E70" s="148">
        <v>250</v>
      </c>
      <c r="F70" s="149">
        <v>30</v>
      </c>
      <c r="G70" s="126"/>
      <c r="H70" s="143">
        <f t="shared" si="0"/>
        <v>7500</v>
      </c>
      <c r="I70" s="99"/>
    </row>
    <row r="71" spans="1:9" ht="11.25">
      <c r="A71" s="110"/>
      <c r="B71" s="150" t="s">
        <v>346</v>
      </c>
      <c r="C71" s="128"/>
      <c r="D71" s="112" t="s">
        <v>36</v>
      </c>
      <c r="E71" s="148">
        <v>4300</v>
      </c>
      <c r="F71" s="149">
        <v>8</v>
      </c>
      <c r="G71" s="126"/>
      <c r="H71" s="143">
        <f t="shared" si="0"/>
        <v>34400</v>
      </c>
      <c r="I71" s="99"/>
    </row>
    <row r="72" spans="1:11" ht="11.25" hidden="1">
      <c r="A72" s="110"/>
      <c r="B72" s="138" t="s">
        <v>94</v>
      </c>
      <c r="C72" s="128"/>
      <c r="D72" s="112"/>
      <c r="E72" s="139"/>
      <c r="F72" s="112"/>
      <c r="G72" s="126"/>
      <c r="H72" s="142">
        <v>0</v>
      </c>
      <c r="I72" s="99"/>
      <c r="K72" s="106"/>
    </row>
    <row r="73" spans="1:9" ht="11.25" hidden="1">
      <c r="A73" s="110"/>
      <c r="B73" s="105" t="s">
        <v>288</v>
      </c>
      <c r="C73" s="126"/>
      <c r="D73" s="112"/>
      <c r="E73" s="139"/>
      <c r="F73" s="112"/>
      <c r="G73" s="126"/>
      <c r="H73" s="144"/>
      <c r="I73" s="99"/>
    </row>
    <row r="74" spans="1:9" ht="11.25" hidden="1">
      <c r="A74" s="110"/>
      <c r="B74" s="138" t="s">
        <v>95</v>
      </c>
      <c r="C74" s="128"/>
      <c r="D74" s="112"/>
      <c r="E74" s="139"/>
      <c r="F74" s="112"/>
      <c r="G74" s="126"/>
      <c r="H74" s="142">
        <v>0</v>
      </c>
      <c r="I74" s="99"/>
    </row>
    <row r="75" spans="1:11" ht="11.25" hidden="1">
      <c r="A75" s="110"/>
      <c r="B75" s="138" t="s">
        <v>96</v>
      </c>
      <c r="C75" s="128"/>
      <c r="D75" s="112"/>
      <c r="E75" s="139"/>
      <c r="F75" s="112"/>
      <c r="G75" s="126"/>
      <c r="H75" s="142">
        <v>0</v>
      </c>
      <c r="I75" s="99"/>
      <c r="K75" s="106"/>
    </row>
    <row r="76" spans="1:9" ht="11.25" customHeight="1">
      <c r="A76" s="110"/>
      <c r="B76" s="204" t="s">
        <v>364</v>
      </c>
      <c r="C76" s="204"/>
      <c r="D76" s="204"/>
      <c r="E76" s="204"/>
      <c r="F76" s="204"/>
      <c r="G76" s="204"/>
      <c r="H76" s="144">
        <f>SUM(H40,H47,H59,H74)*(1+13.5%)</f>
        <v>829128.85</v>
      </c>
      <c r="I76" s="99"/>
    </row>
    <row r="77" spans="1:14" ht="11.25" customHeight="1">
      <c r="A77" s="110"/>
      <c r="B77" s="204" t="s">
        <v>62</v>
      </c>
      <c r="C77" s="204"/>
      <c r="D77" s="204"/>
      <c r="E77" s="204"/>
      <c r="F77" s="204"/>
      <c r="G77" s="204"/>
      <c r="H77" s="144">
        <f>SUM(H45,H52,H72,H75)*(1+Uhikhinnad!$E$161)</f>
        <v>76302.5</v>
      </c>
      <c r="I77" s="99"/>
      <c r="N77" s="122"/>
    </row>
    <row r="78" spans="1:14" ht="11.25">
      <c r="A78" s="129"/>
      <c r="B78" s="205" t="s">
        <v>13</v>
      </c>
      <c r="C78" s="205"/>
      <c r="D78" s="205"/>
      <c r="E78" s="205"/>
      <c r="F78" s="205"/>
      <c r="G78" s="205"/>
      <c r="H78" s="145">
        <f>SUM(H76:H77)</f>
        <v>905431.35</v>
      </c>
      <c r="I78" s="99"/>
      <c r="N78" s="122"/>
    </row>
    <row r="79" spans="1:9" ht="11.25" hidden="1">
      <c r="A79" s="129"/>
      <c r="B79" s="105" t="s">
        <v>133</v>
      </c>
      <c r="C79" s="126"/>
      <c r="D79" s="126"/>
      <c r="E79" s="126"/>
      <c r="F79" s="112"/>
      <c r="G79" s="126"/>
      <c r="H79" s="130"/>
      <c r="I79" s="126"/>
    </row>
    <row r="80" spans="1:9" ht="11.25" hidden="1">
      <c r="A80" s="129"/>
      <c r="B80" s="137" t="s">
        <v>88</v>
      </c>
      <c r="C80" s="126"/>
      <c r="D80" s="126"/>
      <c r="E80" s="126"/>
      <c r="F80" s="112"/>
      <c r="G80" s="126"/>
      <c r="H80" s="130"/>
      <c r="I80" s="126"/>
    </row>
    <row r="81" spans="2:9" ht="11.25" customHeight="1" hidden="1">
      <c r="B81" s="105" t="s">
        <v>131</v>
      </c>
      <c r="C81" s="126"/>
      <c r="D81" s="126"/>
      <c r="E81" s="126"/>
      <c r="F81" s="112"/>
      <c r="G81" s="126"/>
      <c r="H81" s="143"/>
      <c r="I81" s="126"/>
    </row>
    <row r="82" spans="2:9" ht="11.25" customHeight="1" hidden="1">
      <c r="B82" s="138" t="s">
        <v>281</v>
      </c>
      <c r="C82" s="126"/>
      <c r="D82" s="126"/>
      <c r="E82" s="126"/>
      <c r="F82" s="112"/>
      <c r="G82" s="126"/>
      <c r="H82" s="142">
        <f>SUM(H83:H87)</f>
        <v>0</v>
      </c>
      <c r="I82" s="126"/>
    </row>
    <row r="83" spans="1:9" ht="11.25" customHeight="1" hidden="1">
      <c r="A83" s="110">
        <v>1008</v>
      </c>
      <c r="B83" s="111" t="str">
        <f>VLOOKUP(A83,Uhikhinnad!$A$6:$F$156,2,FALSE)</f>
        <v>Sademevee uuringud, geodeetilised mõõdistused ja perspektiivskeem</v>
      </c>
      <c r="C83" s="111"/>
      <c r="D83" s="112" t="str">
        <f>VLOOKUP(A83,Uhikhinnad!$A$6:$F$156,4,FALSE)</f>
        <v>tk</v>
      </c>
      <c r="E83" s="113"/>
      <c r="F83" s="112"/>
      <c r="G83" s="112">
        <f>VLOOKUP(A83,Uhikhinnad!$A$6:$F$156,6,FALSE)</f>
        <v>0</v>
      </c>
      <c r="H83" s="143">
        <f>E83*F83+G83</f>
        <v>0</v>
      </c>
      <c r="I83" s="126"/>
    </row>
    <row r="84" spans="1:9" ht="11.25" hidden="1">
      <c r="A84" s="110" t="s">
        <v>167</v>
      </c>
      <c r="B84" s="111" t="str">
        <f>VLOOKUP(A84,Uhikhinnad!$A$6:$F$156,2,FALSE)</f>
        <v>isevoolne sademeveetoru kõvakattega alal </v>
      </c>
      <c r="C84" s="111" t="str">
        <f>VLOOKUP(A84,Uhikhinnad!$A$6:$F$156,3,FALSE)</f>
        <v>De400-De630</v>
      </c>
      <c r="D84" s="112" t="str">
        <f>VLOOKUP(A84,Uhikhinnad!$A$6:$F$156,4,FALSE)</f>
        <v>m</v>
      </c>
      <c r="E84" s="113"/>
      <c r="F84" s="112"/>
      <c r="G84" s="112">
        <f>VLOOKUP(A84,Uhikhinnad!$A$6:$F$156,6,FALSE)</f>
        <v>0</v>
      </c>
      <c r="H84" s="143">
        <f>E84*F84+G84</f>
        <v>0</v>
      </c>
      <c r="I84" s="99"/>
    </row>
    <row r="85" spans="1:9" ht="11.25" hidden="1">
      <c r="A85" s="110" t="s">
        <v>294</v>
      </c>
      <c r="B85" s="111" t="str">
        <f>VLOOKUP(A85,Uhikhinnad!$A$6:$F$156,2,FALSE)</f>
        <v>drenaažitoru kõvakattega alal </v>
      </c>
      <c r="C85" s="111" t="str">
        <f>VLOOKUP(A85,Uhikhinnad!$A$6:$F$156,3,FALSE)</f>
        <v>De160-De315</v>
      </c>
      <c r="D85" s="112" t="str">
        <f>VLOOKUP(A85,Uhikhinnad!$A$6:$F$156,4,FALSE)</f>
        <v>m</v>
      </c>
      <c r="E85" s="113"/>
      <c r="F85" s="112"/>
      <c r="G85" s="112">
        <f>VLOOKUP(A85,Uhikhinnad!$A$6:$F$156,6,FALSE)</f>
        <v>0</v>
      </c>
      <c r="H85" s="143">
        <f>E85*F85+G85</f>
        <v>0</v>
      </c>
      <c r="I85" s="99"/>
    </row>
    <row r="86" spans="1:9" s="98" customFormat="1" ht="11.25" hidden="1">
      <c r="A86" s="110" t="s">
        <v>292</v>
      </c>
      <c r="B86" s="111" t="str">
        <f>VLOOKUP(A86,Uhikhinnad!$A$6:$F$156,2,FALSE)</f>
        <v>kraavi rekonstrueerimine</v>
      </c>
      <c r="C86" s="111" t="str">
        <f>VLOOKUP(A86,Uhikhinnad!$A$6:$F$156,3,FALSE)</f>
        <v>kraav ja truubid</v>
      </c>
      <c r="D86" s="112" t="str">
        <f>VLOOKUP(A86,Uhikhinnad!$A$6:$F$156,4,FALSE)</f>
        <v>m</v>
      </c>
      <c r="E86" s="113"/>
      <c r="F86" s="112"/>
      <c r="G86" s="112">
        <f>VLOOKUP(A86,Uhikhinnad!$A$6:$F$156,6,FALSE)</f>
        <v>0</v>
      </c>
      <c r="H86" s="143">
        <f>E86*F86+G86</f>
        <v>0</v>
      </c>
      <c r="I86" s="99"/>
    </row>
    <row r="87" spans="1:8" ht="11.25" hidden="1">
      <c r="A87" s="110">
        <v>504</v>
      </c>
      <c r="B87" s="111" t="str">
        <f>VLOOKUP(A87,Uhikhinnad!$A$6:$F$156,2,FALSE)</f>
        <v>majaühendus</v>
      </c>
      <c r="C87" s="111" t="str">
        <f>VLOOKUP(A87,Uhikhinnad!$A$6:$F$156,3,FALSE)</f>
        <v>Kontrollkaev De200, torustik ja otsakork</v>
      </c>
      <c r="D87" s="112" t="str">
        <f>VLOOKUP(A87,Uhikhinnad!$A$6:$F$156,4,FALSE)</f>
        <v>kmpl</v>
      </c>
      <c r="E87" s="113"/>
      <c r="F87" s="112"/>
      <c r="G87" s="112">
        <f>VLOOKUP(A87,Uhikhinnad!$A$6:$F$156,6,FALSE)</f>
        <v>0</v>
      </c>
      <c r="H87" s="143">
        <f>E87*F87+G87</f>
        <v>0</v>
      </c>
    </row>
    <row r="88" spans="2:9" ht="11.25" customHeight="1" hidden="1">
      <c r="B88" s="138" t="s">
        <v>98</v>
      </c>
      <c r="C88" s="126"/>
      <c r="D88" s="126"/>
      <c r="E88" s="126"/>
      <c r="F88" s="112"/>
      <c r="G88" s="126"/>
      <c r="H88" s="142">
        <v>0</v>
      </c>
      <c r="I88" s="126"/>
    </row>
    <row r="89" spans="2:8" ht="11.25" customHeight="1" hidden="1">
      <c r="B89" s="105" t="s">
        <v>132</v>
      </c>
      <c r="H89" s="141"/>
    </row>
    <row r="90" spans="2:8" ht="11.25" customHeight="1" hidden="1">
      <c r="B90" s="138" t="s">
        <v>99</v>
      </c>
      <c r="H90" s="142">
        <f>SUM(H91:H92)</f>
        <v>0</v>
      </c>
    </row>
    <row r="91" spans="1:9" ht="11.25" hidden="1">
      <c r="A91" s="110" t="s">
        <v>166</v>
      </c>
      <c r="B91" s="111" t="str">
        <f>VLOOKUP(A91,Uhikhinnad!$A$6:$F$156,2,FALSE)</f>
        <v>isevoolne sademeveetoru kõvakattega alal </v>
      </c>
      <c r="C91" s="111" t="str">
        <f>VLOOKUP(A91,Uhikhinnad!$A$6:$F$156,3,FALSE)</f>
        <v>De160-De315</v>
      </c>
      <c r="D91" s="112" t="str">
        <f>VLOOKUP(A91,Uhikhinnad!$A$6:$F$156,4,FALSE)</f>
        <v>m</v>
      </c>
      <c r="E91" s="113"/>
      <c r="F91" s="112">
        <f>VLOOKUP(A91,Uhikhinnad!$A$6:$F$156,5,FALSE)</f>
        <v>210</v>
      </c>
      <c r="G91" s="112">
        <f>VLOOKUP(A91,Uhikhinnad!$A$6:$F$156,6,FALSE)</f>
        <v>0</v>
      </c>
      <c r="H91" s="143">
        <f>E91*F91+G91</f>
        <v>0</v>
      </c>
      <c r="I91" s="99"/>
    </row>
    <row r="92" spans="1:9" ht="11.25" hidden="1">
      <c r="A92" s="110">
        <v>504</v>
      </c>
      <c r="B92" s="111" t="str">
        <f>VLOOKUP(A92,Uhikhinnad!$A$6:$F$156,2,FALSE)</f>
        <v>majaühendus</v>
      </c>
      <c r="C92" s="111" t="str">
        <f>VLOOKUP(A92,Uhikhinnad!$A$6:$F$156,3,FALSE)</f>
        <v>Kontrollkaev De200, torustik ja otsakork</v>
      </c>
      <c r="D92" s="112" t="str">
        <f>VLOOKUP(A92,Uhikhinnad!$A$6:$F$156,4,FALSE)</f>
        <v>kmpl</v>
      </c>
      <c r="E92" s="113"/>
      <c r="F92" s="112">
        <f>VLOOKUP(A92,Uhikhinnad!$A$6:$F$156,5,FALSE)</f>
        <v>900</v>
      </c>
      <c r="G92" s="112">
        <f>VLOOKUP(A92,Uhikhinnad!$A$6:$F$156,6,FALSE)</f>
        <v>0</v>
      </c>
      <c r="H92" s="143">
        <f>E92*F92+G92</f>
        <v>0</v>
      </c>
      <c r="I92" s="99"/>
    </row>
    <row r="93" spans="2:8" ht="11.25" customHeight="1" hidden="1">
      <c r="B93" s="138" t="s">
        <v>100</v>
      </c>
      <c r="H93" s="142">
        <f>SUM(H94:H98)</f>
        <v>0</v>
      </c>
    </row>
    <row r="94" spans="1:9" ht="11.25" hidden="1">
      <c r="A94" s="110" t="s">
        <v>166</v>
      </c>
      <c r="B94" s="111" t="str">
        <f>VLOOKUP(A94,Uhikhinnad!$A$6:$F$156,2,FALSE)</f>
        <v>isevoolne sademeveetoru kõvakattega alal </v>
      </c>
      <c r="C94" s="111" t="str">
        <f>VLOOKUP(A94,Uhikhinnad!$A$6:$F$156,3,FALSE)</f>
        <v>De160-De315</v>
      </c>
      <c r="D94" s="112" t="str">
        <f>VLOOKUP(A94,Uhikhinnad!$A$6:$F$156,4,FALSE)</f>
        <v>m</v>
      </c>
      <c r="E94" s="113"/>
      <c r="F94" s="112">
        <f>VLOOKUP(A94,Uhikhinnad!$A$6:$F$156,5,FALSE)</f>
        <v>210</v>
      </c>
      <c r="G94" s="112">
        <f>VLOOKUP(A94,Uhikhinnad!$A$6:$F$156,6,FALSE)</f>
        <v>0</v>
      </c>
      <c r="H94" s="143">
        <f>E94*F94+G94</f>
        <v>0</v>
      </c>
      <c r="I94" s="99"/>
    </row>
    <row r="95" spans="1:9" ht="11.25" hidden="1">
      <c r="A95" s="110" t="s">
        <v>167</v>
      </c>
      <c r="B95" s="111" t="str">
        <f>VLOOKUP(A95,Uhikhinnad!$A$6:$F$156,2,FALSE)</f>
        <v>isevoolne sademeveetoru kõvakattega alal </v>
      </c>
      <c r="C95" s="111" t="str">
        <f>VLOOKUP(A95,Uhikhinnad!$A$6:$F$156,3,FALSE)</f>
        <v>De400-De630</v>
      </c>
      <c r="D95" s="112" t="str">
        <f>VLOOKUP(A95,Uhikhinnad!$A$6:$F$156,4,FALSE)</f>
        <v>m</v>
      </c>
      <c r="E95" s="113"/>
      <c r="F95" s="112">
        <f>VLOOKUP(A95,Uhikhinnad!$A$6:$F$156,5,FALSE)</f>
        <v>300</v>
      </c>
      <c r="G95" s="112">
        <f>VLOOKUP(A95,Uhikhinnad!$A$6:$F$156,6,FALSE)</f>
        <v>0</v>
      </c>
      <c r="H95" s="143">
        <f>E95*F95+G95</f>
        <v>0</v>
      </c>
      <c r="I95" s="99"/>
    </row>
    <row r="96" spans="1:9" s="98" customFormat="1" ht="11.25" hidden="1">
      <c r="A96" s="110" t="s">
        <v>169</v>
      </c>
      <c r="B96" s="111" t="str">
        <f>VLOOKUP(A96,Uhikhinnad!$A$6:$F$156,2,FALSE)</f>
        <v>isevoolne sademeveetoru kõvakattega alal </v>
      </c>
      <c r="C96" s="111" t="str">
        <f>VLOOKUP(A96,Uhikhinnad!$A$6:$F$156,3,FALSE)</f>
        <v>De800-De1000</v>
      </c>
      <c r="D96" s="112" t="str">
        <f>VLOOKUP(A96,Uhikhinnad!$A$6:$F$156,4,FALSE)</f>
        <v>m</v>
      </c>
      <c r="E96" s="113"/>
      <c r="F96" s="112">
        <f>VLOOKUP(A96,Uhikhinnad!$A$6:$F$156,5,FALSE)</f>
        <v>1000</v>
      </c>
      <c r="G96" s="112">
        <f>VLOOKUP(A96,Uhikhinnad!$A$6:$F$156,6,FALSE)</f>
        <v>0</v>
      </c>
      <c r="H96" s="143">
        <f>E96*F96+G96</f>
        <v>0</v>
      </c>
      <c r="I96" s="99"/>
    </row>
    <row r="97" spans="1:9" s="98" customFormat="1" ht="11.25" hidden="1">
      <c r="A97" s="110" t="s">
        <v>174</v>
      </c>
      <c r="B97" s="111" t="str">
        <f>VLOOKUP(A97,Uhikhinnad!$A$6:$F$156,2,FALSE)</f>
        <v>kraavi rajamine </v>
      </c>
      <c r="C97" s="111">
        <f>VLOOKUP(A97,Uhikhinnad!$A$6:$F$156,3,FALSE)</f>
        <v>0</v>
      </c>
      <c r="D97" s="112" t="str">
        <f>VLOOKUP(A97,Uhikhinnad!$A$6:$F$156,4,FALSE)</f>
        <v>m</v>
      </c>
      <c r="E97" s="113"/>
      <c r="F97" s="112">
        <f>VLOOKUP(A97,Uhikhinnad!$A$6:$F$156,5,FALSE)</f>
        <v>200</v>
      </c>
      <c r="G97" s="112">
        <f>VLOOKUP(A97,Uhikhinnad!$A$6:$F$156,6,FALSE)</f>
        <v>0</v>
      </c>
      <c r="H97" s="143">
        <f>E97*F97+G97</f>
        <v>0</v>
      </c>
      <c r="I97" s="99"/>
    </row>
    <row r="98" spans="1:9" ht="11.25" hidden="1">
      <c r="A98" s="110">
        <v>504</v>
      </c>
      <c r="B98" s="111" t="str">
        <f>VLOOKUP(A98,Uhikhinnad!$A$6:$F$156,2,FALSE)</f>
        <v>majaühendus</v>
      </c>
      <c r="C98" s="111" t="str">
        <f>VLOOKUP(A98,Uhikhinnad!$A$6:$F$156,3,FALSE)</f>
        <v>Kontrollkaev De200, torustik ja otsakork</v>
      </c>
      <c r="D98" s="112" t="str">
        <f>VLOOKUP(A98,Uhikhinnad!$A$6:$F$156,4,FALSE)</f>
        <v>kmpl</v>
      </c>
      <c r="E98" s="113"/>
      <c r="F98" s="112">
        <f>VLOOKUP(A98,Uhikhinnad!$A$6:$F$156,5,FALSE)</f>
        <v>900</v>
      </c>
      <c r="G98" s="112">
        <f>VLOOKUP(A98,Uhikhinnad!$A$6:$F$156,6,FALSE)</f>
        <v>0</v>
      </c>
      <c r="H98" s="143">
        <f>E98*F98+G98</f>
        <v>0</v>
      </c>
      <c r="I98" s="99"/>
    </row>
    <row r="99" spans="1:9" ht="11.25" customHeight="1" hidden="1">
      <c r="A99" s="110"/>
      <c r="B99" s="204" t="s">
        <v>61</v>
      </c>
      <c r="C99" s="204"/>
      <c r="D99" s="204"/>
      <c r="E99" s="204"/>
      <c r="F99" s="204"/>
      <c r="G99" s="204"/>
      <c r="H99" s="144">
        <f>SUM(H82,H90)*(1+Uhikhinnad!$E$161)</f>
        <v>0</v>
      </c>
      <c r="I99" s="99"/>
    </row>
    <row r="100" spans="1:14" ht="11.25" customHeight="1" hidden="1">
      <c r="A100" s="110"/>
      <c r="B100" s="204" t="s">
        <v>62</v>
      </c>
      <c r="C100" s="204"/>
      <c r="D100" s="204"/>
      <c r="E100" s="204"/>
      <c r="F100" s="204"/>
      <c r="G100" s="204"/>
      <c r="H100" s="144">
        <f>SUM(H88,H93)*(1+Uhikhinnad!$E$161)</f>
        <v>0</v>
      </c>
      <c r="I100" s="99"/>
      <c r="N100" s="122"/>
    </row>
    <row r="101" spans="1:14" ht="11.25" hidden="1">
      <c r="A101" s="129"/>
      <c r="B101" s="205" t="s">
        <v>305</v>
      </c>
      <c r="C101" s="205"/>
      <c r="D101" s="205"/>
      <c r="E101" s="205"/>
      <c r="F101" s="205"/>
      <c r="G101" s="205"/>
      <c r="H101" s="145">
        <f>SUM(H99:H100)</f>
        <v>0</v>
      </c>
      <c r="I101" s="99"/>
      <c r="N101" s="122"/>
    </row>
    <row r="103" spans="7:8" ht="11.25" customHeight="1" hidden="1">
      <c r="G103" s="106" t="s">
        <v>347</v>
      </c>
      <c r="H103" s="152">
        <f>H34+H76</f>
        <v>1101823.95</v>
      </c>
    </row>
    <row r="104" spans="7:8" ht="11.25" customHeight="1" hidden="1">
      <c r="G104" s="106" t="s">
        <v>348</v>
      </c>
      <c r="H104" s="152">
        <f>H35+H77</f>
        <v>108962.5</v>
      </c>
    </row>
    <row r="105" spans="7:8" ht="11.25" customHeight="1" hidden="1">
      <c r="G105" s="106" t="s">
        <v>68</v>
      </c>
      <c r="H105" s="152">
        <f>H103+H104</f>
        <v>1210786.45</v>
      </c>
    </row>
  </sheetData>
  <sheetProtection/>
  <mergeCells count="9">
    <mergeCell ref="B100:G100"/>
    <mergeCell ref="B101:G101"/>
    <mergeCell ref="B34:G34"/>
    <mergeCell ref="B35:G35"/>
    <mergeCell ref="B36:G36"/>
    <mergeCell ref="B76:G76"/>
    <mergeCell ref="B77:G77"/>
    <mergeCell ref="B78:G78"/>
    <mergeCell ref="B99:G9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="85" zoomScaleNormal="85" zoomScalePageLayoutView="0" workbookViewId="0" topLeftCell="B1">
      <selection activeCell="M41" sqref="M41"/>
    </sheetView>
  </sheetViews>
  <sheetFormatPr defaultColWidth="9.140625" defaultRowHeight="11.25" customHeight="1"/>
  <cols>
    <col min="1" max="1" width="9.7109375" style="42" hidden="1" customWidth="1"/>
    <col min="2" max="2" width="47.28125" style="100" customWidth="1"/>
    <col min="3" max="3" width="31.140625" style="100" customWidth="1"/>
    <col min="4" max="4" width="6.8515625" style="100" customWidth="1"/>
    <col min="5" max="5" width="7.57421875" style="103" customWidth="1"/>
    <col min="6" max="6" width="9.8515625" style="103" customWidth="1"/>
    <col min="7" max="7" width="11.8515625" style="100" hidden="1" customWidth="1"/>
    <col min="8" max="8" width="14.57421875" style="59" bestFit="1" customWidth="1"/>
    <col min="9" max="9" width="9.140625" style="100" customWidth="1"/>
    <col min="10" max="10" width="9.28125" style="100" bestFit="1" customWidth="1"/>
    <col min="11" max="13" width="9.140625" style="100" customWidth="1"/>
    <col min="14" max="14" width="10.8515625" style="100" bestFit="1" customWidth="1"/>
    <col min="15" max="16384" width="9.140625" style="100" customWidth="1"/>
  </cols>
  <sheetData>
    <row r="1" spans="2:9" ht="11.25">
      <c r="B1" s="104" t="s">
        <v>318</v>
      </c>
      <c r="C1" s="98"/>
      <c r="D1" s="98"/>
      <c r="E1" s="101"/>
      <c r="F1" s="101"/>
      <c r="G1" s="98"/>
      <c r="H1" s="57"/>
      <c r="I1" s="98"/>
    </row>
    <row r="2" spans="2:9" ht="11.25">
      <c r="B2" s="104" t="s">
        <v>53</v>
      </c>
      <c r="C2" s="98"/>
      <c r="D2" s="98"/>
      <c r="E2" s="101"/>
      <c r="F2" s="101"/>
      <c r="G2" s="98"/>
      <c r="H2" s="57"/>
      <c r="I2" s="98"/>
    </row>
    <row r="3" spans="1:9" ht="11.25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  <c r="I3" s="99"/>
    </row>
    <row r="4" spans="1:13" ht="11.25">
      <c r="A4" s="7"/>
      <c r="B4" s="105" t="s">
        <v>41</v>
      </c>
      <c r="I4" s="99"/>
      <c r="J4" s="106"/>
      <c r="K4" s="106"/>
      <c r="L4" s="106"/>
      <c r="M4" s="106"/>
    </row>
    <row r="5" spans="1:13" ht="11.25" hidden="1">
      <c r="A5" s="7"/>
      <c r="B5" s="137" t="s">
        <v>72</v>
      </c>
      <c r="I5" s="99"/>
      <c r="J5" s="106"/>
      <c r="K5" s="106"/>
      <c r="L5" s="106"/>
      <c r="M5" s="106"/>
    </row>
    <row r="6" spans="1:13" ht="11.25" customHeight="1" hidden="1">
      <c r="A6" s="7"/>
      <c r="B6" s="108" t="s">
        <v>87</v>
      </c>
      <c r="I6" s="99"/>
      <c r="J6" s="106"/>
      <c r="K6" s="106"/>
      <c r="L6" s="106"/>
      <c r="M6" s="106"/>
    </row>
    <row r="7" spans="1:13" ht="11.25" customHeight="1" hidden="1">
      <c r="A7" s="7"/>
      <c r="B7" s="138" t="s">
        <v>89</v>
      </c>
      <c r="H7" s="142">
        <v>0</v>
      </c>
      <c r="I7" s="99"/>
      <c r="K7" s="106"/>
      <c r="L7" s="106"/>
      <c r="M7" s="106"/>
    </row>
    <row r="8" spans="1:13" ht="11.25" customHeight="1" hidden="1">
      <c r="A8" s="7"/>
      <c r="B8" s="138" t="s">
        <v>90</v>
      </c>
      <c r="H8" s="142">
        <v>0</v>
      </c>
      <c r="I8" s="99"/>
      <c r="L8" s="106"/>
      <c r="M8" s="106"/>
    </row>
    <row r="9" spans="1:13" ht="11.25" customHeight="1" hidden="1">
      <c r="A9" s="7"/>
      <c r="B9" s="108" t="s">
        <v>271</v>
      </c>
      <c r="H9" s="141"/>
      <c r="I9" s="99"/>
      <c r="J9" s="106"/>
      <c r="K9" s="106"/>
      <c r="L9" s="106"/>
      <c r="M9" s="106"/>
    </row>
    <row r="10" spans="1:13" ht="11.25" customHeight="1" hidden="1">
      <c r="A10" s="7"/>
      <c r="B10" s="138" t="s">
        <v>91</v>
      </c>
      <c r="H10" s="142">
        <v>0</v>
      </c>
      <c r="I10" s="99"/>
      <c r="K10" s="106"/>
      <c r="L10" s="106"/>
      <c r="M10" s="106"/>
    </row>
    <row r="11" spans="1:13" ht="11.25" customHeight="1" hidden="1">
      <c r="A11" s="7"/>
      <c r="B11" s="138" t="s">
        <v>92</v>
      </c>
      <c r="H11" s="142">
        <v>0</v>
      </c>
      <c r="I11" s="133"/>
      <c r="L11" s="106"/>
      <c r="M11" s="106"/>
    </row>
    <row r="12" spans="1:13" ht="11.25" customHeight="1">
      <c r="A12" s="7"/>
      <c r="B12" s="137" t="s">
        <v>73</v>
      </c>
      <c r="H12" s="141"/>
      <c r="I12" s="99"/>
      <c r="L12" s="106"/>
      <c r="M12" s="106"/>
    </row>
    <row r="13" spans="1:9" ht="11.25" hidden="1">
      <c r="A13" s="110"/>
      <c r="B13" s="108" t="s">
        <v>272</v>
      </c>
      <c r="C13" s="116"/>
      <c r="D13" s="117"/>
      <c r="E13" s="118"/>
      <c r="F13" s="117"/>
      <c r="G13" s="117"/>
      <c r="H13" s="144"/>
      <c r="I13" s="99"/>
    </row>
    <row r="14" spans="1:9" ht="11.25" hidden="1">
      <c r="A14" s="110"/>
      <c r="B14" s="138" t="s">
        <v>273</v>
      </c>
      <c r="C14" s="116"/>
      <c r="D14" s="117"/>
      <c r="E14" s="118"/>
      <c r="F14" s="117"/>
      <c r="G14" s="117"/>
      <c r="H14" s="142">
        <v>0</v>
      </c>
      <c r="I14" s="99"/>
    </row>
    <row r="15" spans="1:9" ht="11.25" hidden="1">
      <c r="A15" s="110"/>
      <c r="B15" s="138" t="s">
        <v>275</v>
      </c>
      <c r="C15" s="120"/>
      <c r="D15" s="99"/>
      <c r="E15" s="102"/>
      <c r="F15" s="102"/>
      <c r="G15" s="99"/>
      <c r="H15" s="142">
        <f>SUM(H16:H17)</f>
        <v>0</v>
      </c>
      <c r="I15" s="99"/>
    </row>
    <row r="16" spans="1:13" s="98" customFormat="1" ht="11.25" hidden="1">
      <c r="A16" s="110" t="s">
        <v>163</v>
      </c>
      <c r="B16" s="111" t="str">
        <f>VLOOKUP(A16,Uhikhinnad!$A$6:$F$156,2,FALSE)</f>
        <v>veetoru</v>
      </c>
      <c r="C16" s="111" t="str">
        <f>VLOOKUP(A16,Uhikhinnad!$A$6:$F$156,3,FALSE)</f>
        <v>De32-De110</v>
      </c>
      <c r="D16" s="112" t="str">
        <f>VLOOKUP(A16,Uhikhinnad!$A$6:$F$156,4,FALSE)</f>
        <v>m</v>
      </c>
      <c r="E16" s="113"/>
      <c r="F16" s="112"/>
      <c r="G16" s="112">
        <f>VLOOKUP(A16,Uhikhinnad!$A$6:$F$156,6,FALSE)</f>
        <v>0</v>
      </c>
      <c r="H16" s="143">
        <f>E16*F16+G16</f>
        <v>0</v>
      </c>
      <c r="I16" s="99"/>
      <c r="J16" s="100"/>
      <c r="K16" s="115"/>
      <c r="L16" s="115"/>
      <c r="M16" s="115"/>
    </row>
    <row r="17" spans="1:13" s="98" customFormat="1" ht="11.25" hidden="1">
      <c r="A17" s="110">
        <v>202</v>
      </c>
      <c r="B17" s="111" t="str">
        <f>VLOOKUP(A17,Uhikhinnad!$A$6:$F$156,2,FALSE)</f>
        <v>majaühendus</v>
      </c>
      <c r="C17" s="111" t="str">
        <f>VLOOKUP(A17,Uhikhinnad!$A$6:$F$156,3,FALSE)</f>
        <v>Toru, maakraan, otsakork</v>
      </c>
      <c r="D17" s="112" t="str">
        <f>VLOOKUP(A17,Uhikhinnad!$A$6:$F$156,4,FALSE)</f>
        <v>kmpl</v>
      </c>
      <c r="E17" s="113"/>
      <c r="F17" s="112"/>
      <c r="G17" s="112">
        <f>VLOOKUP(A17,Uhikhinnad!$A$6:$F$156,6,FALSE)</f>
        <v>0</v>
      </c>
      <c r="H17" s="143">
        <f>E17*F17+G17</f>
        <v>0</v>
      </c>
      <c r="I17" s="99"/>
      <c r="J17" s="100"/>
      <c r="K17" s="115"/>
      <c r="L17" s="115"/>
      <c r="M17" s="115"/>
    </row>
    <row r="18" spans="1:9" ht="11.25">
      <c r="A18" s="110"/>
      <c r="B18" s="108" t="s">
        <v>82</v>
      </c>
      <c r="C18" s="116"/>
      <c r="D18" s="117"/>
      <c r="E18" s="118"/>
      <c r="F18" s="117"/>
      <c r="G18" s="117"/>
      <c r="H18" s="144"/>
      <c r="I18" s="99"/>
    </row>
    <row r="19" spans="1:9" ht="11.25">
      <c r="A19" s="110"/>
      <c r="B19" s="138" t="s">
        <v>274</v>
      </c>
      <c r="C19" s="116"/>
      <c r="D19" s="117"/>
      <c r="E19" s="118"/>
      <c r="F19" s="117"/>
      <c r="G19" s="117"/>
      <c r="H19" s="142">
        <f>SUM(H20:H22)</f>
        <v>54670</v>
      </c>
      <c r="I19" s="99"/>
    </row>
    <row r="20" spans="1:9" ht="11.25">
      <c r="A20" s="110" t="s">
        <v>163</v>
      </c>
      <c r="B20" s="111" t="str">
        <f>VLOOKUP(A20,Uhikhinnad!$A$6:$F$156,2,FALSE)</f>
        <v>veetoru</v>
      </c>
      <c r="C20" s="111" t="str">
        <f>VLOOKUP(A20,Uhikhinnad!$A$6:$F$156,3,FALSE)</f>
        <v>De32-De110</v>
      </c>
      <c r="D20" s="112" t="str">
        <f>VLOOKUP(A20,Uhikhinnad!$A$6:$F$156,4,FALSE)</f>
        <v>m</v>
      </c>
      <c r="E20" s="113">
        <v>395</v>
      </c>
      <c r="F20" s="112">
        <v>90</v>
      </c>
      <c r="G20" s="112">
        <f>VLOOKUP(A20,Uhikhinnad!$A$6:$F$156,6,FALSE)</f>
        <v>0</v>
      </c>
      <c r="H20" s="143">
        <f>E20*F20+G20</f>
        <v>35550</v>
      </c>
      <c r="I20" s="99"/>
    </row>
    <row r="21" spans="1:9" ht="11.25">
      <c r="A21" s="110"/>
      <c r="B21" s="111" t="s">
        <v>359</v>
      </c>
      <c r="C21" s="111"/>
      <c r="D21" s="112" t="s">
        <v>59</v>
      </c>
      <c r="E21" s="113">
        <v>1</v>
      </c>
      <c r="F21" s="112">
        <v>18000</v>
      </c>
      <c r="G21" s="112"/>
      <c r="H21" s="143">
        <f>E21*F21+G21</f>
        <v>18000</v>
      </c>
      <c r="I21" s="99"/>
    </row>
    <row r="22" spans="1:9" ht="11.25">
      <c r="A22" s="110">
        <v>202</v>
      </c>
      <c r="B22" s="111" t="str">
        <f>VLOOKUP(A22,Uhikhinnad!$A$6:$F$156,2,FALSE)</f>
        <v>majaühendus</v>
      </c>
      <c r="C22" s="111" t="str">
        <f>VLOOKUP(A22,Uhikhinnad!$A$6:$F$156,3,FALSE)</f>
        <v>Toru, maakraan, otsakork</v>
      </c>
      <c r="D22" s="112" t="str">
        <f>VLOOKUP(A22,Uhikhinnad!$A$6:$F$156,4,FALSE)</f>
        <v>kmpl</v>
      </c>
      <c r="E22" s="113">
        <v>4</v>
      </c>
      <c r="F22" s="112">
        <v>280</v>
      </c>
      <c r="G22" s="112">
        <f>VLOOKUP(A22,Uhikhinnad!$A$6:$F$156,6,FALSE)</f>
        <v>0</v>
      </c>
      <c r="H22" s="143">
        <f>E22*F22+G22</f>
        <v>1120</v>
      </c>
      <c r="I22" s="99"/>
    </row>
    <row r="23" spans="1:9" ht="11.25" hidden="1">
      <c r="A23" s="110"/>
      <c r="B23" s="138"/>
      <c r="C23" s="116"/>
      <c r="D23" s="117"/>
      <c r="E23" s="118"/>
      <c r="F23" s="117"/>
      <c r="G23" s="117"/>
      <c r="H23" s="142"/>
      <c r="I23" s="99"/>
    </row>
    <row r="24" spans="1:9" ht="11.25" hidden="1">
      <c r="A24" s="110"/>
      <c r="B24" s="138"/>
      <c r="C24" s="116"/>
      <c r="D24" s="117"/>
      <c r="E24" s="118"/>
      <c r="F24" s="117"/>
      <c r="G24" s="117"/>
      <c r="H24" s="142"/>
      <c r="I24" s="99"/>
    </row>
    <row r="25" spans="1:9" ht="11.25" hidden="1">
      <c r="A25" s="110"/>
      <c r="B25" s="138" t="s">
        <v>276</v>
      </c>
      <c r="C25" s="120"/>
      <c r="D25" s="99"/>
      <c r="E25" s="102"/>
      <c r="F25" s="102"/>
      <c r="G25" s="99"/>
      <c r="H25" s="142">
        <f>SUM(H26:H30)</f>
        <v>0</v>
      </c>
      <c r="I25" s="99"/>
    </row>
    <row r="26" spans="1:13" s="98" customFormat="1" ht="11.25" hidden="1">
      <c r="A26" s="110" t="s">
        <v>163</v>
      </c>
      <c r="B26" s="111" t="str">
        <f>VLOOKUP(A26,Uhikhinnad!$A$6:$F$156,2,FALSE)</f>
        <v>veetoru</v>
      </c>
      <c r="C26" s="111" t="str">
        <f>VLOOKUP(A26,Uhikhinnad!$A$6:$F$156,3,FALSE)</f>
        <v>De32-De110</v>
      </c>
      <c r="D26" s="112" t="str">
        <f>VLOOKUP(A26,Uhikhinnad!$A$6:$F$156,4,FALSE)</f>
        <v>m</v>
      </c>
      <c r="E26" s="113"/>
      <c r="F26" s="112"/>
      <c r="G26" s="112">
        <f>VLOOKUP(A26,Uhikhinnad!$A$6:$F$156,6,FALSE)</f>
        <v>0</v>
      </c>
      <c r="H26" s="143">
        <f>E26*F26+G26</f>
        <v>0</v>
      </c>
      <c r="I26" s="99"/>
      <c r="J26" s="100"/>
      <c r="K26" s="115"/>
      <c r="L26" s="115"/>
      <c r="M26" s="115"/>
    </row>
    <row r="27" spans="1:13" s="98" customFormat="1" ht="11.25" hidden="1">
      <c r="A27" s="110">
        <v>202</v>
      </c>
      <c r="B27" s="111" t="str">
        <f>VLOOKUP(A27,Uhikhinnad!$A$6:$F$156,2,FALSE)</f>
        <v>majaühendus</v>
      </c>
      <c r="C27" s="111" t="str">
        <f>VLOOKUP(A27,Uhikhinnad!$A$6:$F$156,3,FALSE)</f>
        <v>Toru, maakraan, otsakork</v>
      </c>
      <c r="D27" s="112" t="str">
        <f>VLOOKUP(A27,Uhikhinnad!$A$6:$F$156,4,FALSE)</f>
        <v>kmpl</v>
      </c>
      <c r="E27" s="113"/>
      <c r="F27" s="112"/>
      <c r="G27" s="112">
        <f>VLOOKUP(A27,Uhikhinnad!$A$6:$F$156,6,FALSE)</f>
        <v>0</v>
      </c>
      <c r="H27" s="143">
        <f>E27*F27+G27</f>
        <v>0</v>
      </c>
      <c r="I27" s="99"/>
      <c r="J27" s="100"/>
      <c r="K27" s="115"/>
      <c r="L27" s="115"/>
      <c r="M27" s="115"/>
    </row>
    <row r="28" spans="1:13" s="98" customFormat="1" ht="11.25" hidden="1">
      <c r="A28" s="110" t="s">
        <v>164</v>
      </c>
      <c r="B28" s="111" t="str">
        <f>VLOOKUP(A28,Uhikhinnad!$A$6:$F$156,2,FALSE)</f>
        <v>veetoru</v>
      </c>
      <c r="C28" s="111" t="str">
        <f>VLOOKUP(A28,Uhikhinnad!$A$6:$F$156,3,FALSE)</f>
        <v>De160-De315</v>
      </c>
      <c r="D28" s="112" t="str">
        <f>VLOOKUP(A28,Uhikhinnad!$A$6:$F$156,4,FALSE)</f>
        <v>m</v>
      </c>
      <c r="E28" s="113"/>
      <c r="F28" s="112"/>
      <c r="G28" s="112">
        <f>VLOOKUP(A28,Uhikhinnad!$A$6:$F$156,6,FALSE)</f>
        <v>0</v>
      </c>
      <c r="H28" s="143">
        <f>E28*F28+G28</f>
        <v>0</v>
      </c>
      <c r="I28" s="99"/>
      <c r="K28" s="115"/>
      <c r="L28" s="115"/>
      <c r="M28" s="115"/>
    </row>
    <row r="29" spans="1:13" s="98" customFormat="1" ht="11.25" hidden="1">
      <c r="A29" s="110" t="s">
        <v>218</v>
      </c>
      <c r="B29" s="111" t="str">
        <f>VLOOKUP(A29,Uhikhinnad!$A$6:$F$156,2,FALSE)</f>
        <v>tuletõrjevee mahuti rajamine</v>
      </c>
      <c r="C29" s="111" t="str">
        <f>VLOOKUP(A29,Uhikhinnad!$A$6:$F$156,3,FALSE)</f>
        <v>betoon (50 - 200 m3)</v>
      </c>
      <c r="D29" s="112" t="str">
        <f>VLOOKUP(A29,Uhikhinnad!$A$6:$F$156,4,FALSE)</f>
        <v>m3</v>
      </c>
      <c r="E29" s="113"/>
      <c r="F29" s="112"/>
      <c r="G29" s="112">
        <f>VLOOKUP(A29,Uhikhinnad!$A$6:$F$156,6,FALSE)</f>
        <v>0</v>
      </c>
      <c r="H29" s="143">
        <f>E29*F29+G29</f>
        <v>0</v>
      </c>
      <c r="I29" s="99"/>
      <c r="J29" s="115"/>
      <c r="K29" s="115"/>
      <c r="L29" s="115"/>
      <c r="M29" s="115"/>
    </row>
    <row r="30" spans="1:13" s="98" customFormat="1" ht="11.25" hidden="1">
      <c r="A30" s="110">
        <v>203</v>
      </c>
      <c r="B30" s="111" t="str">
        <f>VLOOKUP(A30,Uhikhinnad!$A$6:$F$156,2,FALSE)</f>
        <v>hüdrant</v>
      </c>
      <c r="C30" s="111" t="str">
        <f>VLOOKUP(A30,Uhikhinnad!$A$6:$F$156,3,FALSE)</f>
        <v>DN100 ühendus</v>
      </c>
      <c r="D30" s="112" t="str">
        <f>VLOOKUP(A30,Uhikhinnad!$A$6:$F$156,4,FALSE)</f>
        <v>tk</v>
      </c>
      <c r="E30" s="113"/>
      <c r="F30" s="112"/>
      <c r="G30" s="112">
        <f>VLOOKUP(A30,Uhikhinnad!$A$6:$F$156,6,FALSE)</f>
        <v>0</v>
      </c>
      <c r="H30" s="143">
        <f>E30*F30+G30</f>
        <v>0</v>
      </c>
      <c r="I30" s="99"/>
      <c r="J30" s="100"/>
      <c r="K30" s="115"/>
      <c r="L30" s="115"/>
      <c r="M30" s="115"/>
    </row>
    <row r="31" spans="1:9" ht="11.25" customHeight="1">
      <c r="A31" s="110"/>
      <c r="B31" s="204" t="s">
        <v>61</v>
      </c>
      <c r="C31" s="204"/>
      <c r="D31" s="204"/>
      <c r="E31" s="204"/>
      <c r="F31" s="204"/>
      <c r="G31" s="204"/>
      <c r="H31" s="144">
        <f>SUM(H7,H10,H14,H19)*(1+Uhikhinnad!$E$161)</f>
        <v>62870.49999999999</v>
      </c>
      <c r="I31" s="99"/>
    </row>
    <row r="32" spans="1:9" ht="11.25" customHeight="1">
      <c r="A32" s="110"/>
      <c r="B32" s="204" t="s">
        <v>62</v>
      </c>
      <c r="C32" s="204"/>
      <c r="D32" s="204"/>
      <c r="E32" s="204"/>
      <c r="F32" s="204"/>
      <c r="G32" s="204"/>
      <c r="H32" s="144">
        <f>SUM(H8,H11,H15,H25)*(1+Uhikhinnad!$E$161)</f>
        <v>0</v>
      </c>
      <c r="I32" s="99"/>
    </row>
    <row r="33" spans="1:9" ht="11.25">
      <c r="A33" s="110"/>
      <c r="B33" s="205" t="s">
        <v>45</v>
      </c>
      <c r="C33" s="205"/>
      <c r="D33" s="205"/>
      <c r="E33" s="205"/>
      <c r="F33" s="205"/>
      <c r="G33" s="205"/>
      <c r="H33" s="145">
        <f>SUM(H31:H32)</f>
        <v>62870.49999999999</v>
      </c>
      <c r="I33" s="99"/>
    </row>
    <row r="34" spans="1:9" ht="11.25">
      <c r="A34" s="124"/>
      <c r="B34" s="105" t="s">
        <v>32</v>
      </c>
      <c r="C34" s="116"/>
      <c r="D34" s="117"/>
      <c r="E34" s="118"/>
      <c r="F34" s="117"/>
      <c r="G34" s="117"/>
      <c r="H34" s="125"/>
      <c r="I34" s="99"/>
    </row>
    <row r="35" spans="1:9" ht="11.25">
      <c r="A35" s="124"/>
      <c r="B35" s="137" t="s">
        <v>74</v>
      </c>
      <c r="C35" s="116"/>
      <c r="D35" s="117"/>
      <c r="E35" s="118"/>
      <c r="F35" s="117"/>
      <c r="G35" s="117"/>
      <c r="H35" s="125"/>
      <c r="I35" s="99"/>
    </row>
    <row r="36" spans="1:9" ht="11.25">
      <c r="A36" s="110"/>
      <c r="B36" s="105" t="s">
        <v>270</v>
      </c>
      <c r="C36" s="126"/>
      <c r="D36" s="112"/>
      <c r="E36" s="127"/>
      <c r="F36" s="112"/>
      <c r="G36" s="126"/>
      <c r="H36" s="119"/>
      <c r="I36" s="99"/>
    </row>
    <row r="37" spans="1:9" ht="11.25">
      <c r="A37" s="110"/>
      <c r="B37" s="138" t="s">
        <v>279</v>
      </c>
      <c r="C37" s="128"/>
      <c r="D37" s="112"/>
      <c r="E37" s="127"/>
      <c r="F37" s="112"/>
      <c r="G37" s="126"/>
      <c r="H37" s="142">
        <f>SUM(H38:H39)</f>
        <v>13385</v>
      </c>
      <c r="I37" s="99"/>
    </row>
    <row r="38" spans="1:9" ht="11.25">
      <c r="A38" s="110" t="s">
        <v>152</v>
      </c>
      <c r="B38" s="140" t="s">
        <v>352</v>
      </c>
      <c r="C38" s="128" t="s">
        <v>24</v>
      </c>
      <c r="D38" s="112" t="s">
        <v>25</v>
      </c>
      <c r="E38" s="113">
        <v>95</v>
      </c>
      <c r="F38" s="112">
        <v>135</v>
      </c>
      <c r="G38" s="126">
        <v>0</v>
      </c>
      <c r="H38" s="143">
        <f>E38*F38+G38</f>
        <v>12825</v>
      </c>
      <c r="I38" s="99"/>
    </row>
    <row r="39" spans="1:9" ht="11.25">
      <c r="A39" s="110">
        <v>304</v>
      </c>
      <c r="B39" s="111" t="str">
        <f>VLOOKUP(A39,Uhikhinnad!$A$6:$F$156,2,FALSE)</f>
        <v>majaühendus</v>
      </c>
      <c r="C39" s="111" t="str">
        <f>VLOOKUP(A39,Uhikhinnad!$A$6:$F$156,3,FALSE)</f>
        <v>Kontrollkaev De200, torustik ja otsakork</v>
      </c>
      <c r="D39" s="112" t="str">
        <f>VLOOKUP(A39,Uhikhinnad!$A$6:$F$156,4,FALSE)</f>
        <v>kmpl</v>
      </c>
      <c r="E39" s="113">
        <v>2</v>
      </c>
      <c r="F39" s="112">
        <v>280</v>
      </c>
      <c r="G39" s="112">
        <f>VLOOKUP(A39,Uhikhinnad!$A$6:$F$156,6,FALSE)</f>
        <v>0</v>
      </c>
      <c r="H39" s="143">
        <f>E39*F39+G39</f>
        <v>560</v>
      </c>
      <c r="I39" s="99"/>
    </row>
    <row r="40" spans="1:11" ht="11.25" hidden="1">
      <c r="A40" s="110"/>
      <c r="B40" s="138" t="s">
        <v>277</v>
      </c>
      <c r="C40" s="128"/>
      <c r="D40" s="112"/>
      <c r="E40" s="127"/>
      <c r="F40" s="112"/>
      <c r="G40" s="126"/>
      <c r="H40" s="142">
        <v>0</v>
      </c>
      <c r="I40" s="99"/>
      <c r="K40" s="106"/>
    </row>
    <row r="41" spans="1:9" ht="11.25">
      <c r="A41" s="110"/>
      <c r="B41" s="105" t="s">
        <v>123</v>
      </c>
      <c r="C41" s="126"/>
      <c r="D41" s="112"/>
      <c r="E41" s="127"/>
      <c r="F41" s="112"/>
      <c r="G41" s="126"/>
      <c r="H41" s="144"/>
      <c r="I41" s="99"/>
    </row>
    <row r="42" spans="1:9" ht="11.25">
      <c r="A42" s="110"/>
      <c r="B42" s="138" t="s">
        <v>280</v>
      </c>
      <c r="C42" s="128"/>
      <c r="D42" s="112"/>
      <c r="E42" s="127"/>
      <c r="F42" s="112"/>
      <c r="G42" s="126"/>
      <c r="H42" s="142">
        <f>SUM(H43:H44)</f>
        <v>44320</v>
      </c>
      <c r="I42" s="99"/>
    </row>
    <row r="43" spans="1:9" ht="11.25">
      <c r="A43" s="110" t="s">
        <v>152</v>
      </c>
      <c r="B43" s="140" t="s">
        <v>352</v>
      </c>
      <c r="C43" s="128" t="s">
        <v>24</v>
      </c>
      <c r="D43" s="112" t="s">
        <v>25</v>
      </c>
      <c r="E43" s="113">
        <v>320</v>
      </c>
      <c r="F43" s="112">
        <v>135</v>
      </c>
      <c r="G43" s="126">
        <v>0</v>
      </c>
      <c r="H43" s="143">
        <f>E43*F43+G43</f>
        <v>43200</v>
      </c>
      <c r="I43" s="99"/>
    </row>
    <row r="44" spans="1:9" ht="11.25">
      <c r="A44" s="110">
        <v>304</v>
      </c>
      <c r="B44" s="111" t="str">
        <f>VLOOKUP(A44,Uhikhinnad!$A$6:$F$156,2,FALSE)</f>
        <v>majaühendus</v>
      </c>
      <c r="C44" s="111" t="str">
        <f>VLOOKUP(A44,Uhikhinnad!$A$6:$F$156,3,FALSE)</f>
        <v>Kontrollkaev De200, torustik ja otsakork</v>
      </c>
      <c r="D44" s="112" t="str">
        <f>VLOOKUP(A44,Uhikhinnad!$A$6:$F$156,4,FALSE)</f>
        <v>kmpl</v>
      </c>
      <c r="E44" s="113">
        <v>4</v>
      </c>
      <c r="F44" s="112">
        <v>280</v>
      </c>
      <c r="G44" s="112">
        <f>VLOOKUP(A44,Uhikhinnad!$A$6:$F$156,6,FALSE)</f>
        <v>0</v>
      </c>
      <c r="H44" s="143">
        <f>E44*F44+G44</f>
        <v>1120</v>
      </c>
      <c r="I44" s="99"/>
    </row>
    <row r="45" spans="1:11" ht="11.25" hidden="1">
      <c r="A45" s="110"/>
      <c r="B45" s="138" t="s">
        <v>278</v>
      </c>
      <c r="C45" s="128"/>
      <c r="D45" s="112"/>
      <c r="E45" s="127"/>
      <c r="F45" s="112"/>
      <c r="G45" s="126"/>
      <c r="H45" s="142">
        <f>SUM(H46:H49)</f>
        <v>0</v>
      </c>
      <c r="I45" s="99"/>
      <c r="K45" s="106"/>
    </row>
    <row r="46" spans="1:9" ht="11.25" hidden="1">
      <c r="A46" s="110" t="s">
        <v>152</v>
      </c>
      <c r="B46" s="111" t="str">
        <f>VLOOKUP(A46,Uhikhinnad!$A$6:$F$156,2,FALSE)</f>
        <v>isevoolne kan.toru </v>
      </c>
      <c r="C46" s="111" t="str">
        <f>VLOOKUP(A46,Uhikhinnad!$A$6:$F$156,3,FALSE)</f>
        <v>De160-De315</v>
      </c>
      <c r="D46" s="112" t="str">
        <f>VLOOKUP(A46,Uhikhinnad!$A$6:$F$156,4,FALSE)</f>
        <v>m</v>
      </c>
      <c r="E46" s="113"/>
      <c r="F46" s="112"/>
      <c r="G46" s="112">
        <f>VLOOKUP(A46,Uhikhinnad!$A$6:$F$156,6,FALSE)</f>
        <v>0</v>
      </c>
      <c r="H46" s="143">
        <f>E46*F46+G46</f>
        <v>0</v>
      </c>
      <c r="I46" s="99"/>
    </row>
    <row r="47" spans="1:9" ht="11.25" hidden="1">
      <c r="A47" s="110" t="s">
        <v>153</v>
      </c>
      <c r="B47" s="111" t="str">
        <f>VLOOKUP(A47,Uhikhinnad!$A$6:$F$156,2,FALSE)</f>
        <v>survekanalisatsioonitoru</v>
      </c>
      <c r="C47" s="111" t="str">
        <f>VLOOKUP(A47,Uhikhinnad!$A$6:$F$156,3,FALSE)</f>
        <v>De63-De110</v>
      </c>
      <c r="D47" s="112" t="str">
        <f>VLOOKUP(A47,Uhikhinnad!$A$6:$F$156,4,FALSE)</f>
        <v>m</v>
      </c>
      <c r="E47" s="113"/>
      <c r="F47" s="112"/>
      <c r="G47" s="112">
        <f>VLOOKUP(A47,Uhikhinnad!$A$6:$F$156,6,FALSE)</f>
        <v>0</v>
      </c>
      <c r="H47" s="143">
        <f>E47*F47+G47</f>
        <v>0</v>
      </c>
      <c r="I47" s="99"/>
    </row>
    <row r="48" spans="1:9" ht="11.25" hidden="1">
      <c r="A48" s="110" t="s">
        <v>160</v>
      </c>
      <c r="B48" s="111" t="str">
        <f>VLOOKUP(A48,Uhikhinnad!$A$6:$F$156,2,FALSE)</f>
        <v>väike reoveepumpla </v>
      </c>
      <c r="C48" s="111" t="str">
        <f>VLOOKUP(A48,Uhikhinnad!$A$6:$F$156,3,FALSE)</f>
        <v>Qarv ≤ 5 l/s</v>
      </c>
      <c r="D48" s="112" t="str">
        <f>VLOOKUP(A48,Uhikhinnad!$A$6:$F$156,4,FALSE)</f>
        <v>kmpl</v>
      </c>
      <c r="E48" s="113"/>
      <c r="F48" s="112"/>
      <c r="G48" s="112">
        <f>VLOOKUP(A48,Uhikhinnad!$A$6:$F$156,6,FALSE)</f>
        <v>0</v>
      </c>
      <c r="H48" s="143">
        <f>E48*F48+G48</f>
        <v>0</v>
      </c>
      <c r="I48" s="99"/>
    </row>
    <row r="49" spans="1:9" ht="11.25" hidden="1">
      <c r="A49" s="110">
        <v>304</v>
      </c>
      <c r="B49" s="111" t="str">
        <f>VLOOKUP(A49,Uhikhinnad!$A$6:$F$156,2,FALSE)</f>
        <v>majaühendus</v>
      </c>
      <c r="C49" s="111" t="str">
        <f>VLOOKUP(A49,Uhikhinnad!$A$6:$F$156,3,FALSE)</f>
        <v>Kontrollkaev De200, torustik ja otsakork</v>
      </c>
      <c r="D49" s="112" t="str">
        <f>VLOOKUP(A49,Uhikhinnad!$A$6:$F$156,4,FALSE)</f>
        <v>kmpl</v>
      </c>
      <c r="E49" s="113"/>
      <c r="F49" s="112"/>
      <c r="G49" s="112">
        <f>VLOOKUP(A49,Uhikhinnad!$A$6:$F$156,6,FALSE)</f>
        <v>0</v>
      </c>
      <c r="H49" s="143">
        <f>E49*F49+G49</f>
        <v>0</v>
      </c>
      <c r="I49" s="99"/>
    </row>
    <row r="50" spans="1:9" ht="11.25">
      <c r="A50" s="124"/>
      <c r="B50" s="137" t="s">
        <v>75</v>
      </c>
      <c r="C50" s="116"/>
      <c r="D50" s="117"/>
      <c r="E50" s="118"/>
      <c r="F50" s="117"/>
      <c r="G50" s="117"/>
      <c r="H50" s="146"/>
      <c r="I50" s="99"/>
    </row>
    <row r="51" spans="1:9" ht="11.25">
      <c r="A51" s="110"/>
      <c r="B51" s="105" t="s">
        <v>287</v>
      </c>
      <c r="C51" s="126"/>
      <c r="D51" s="112"/>
      <c r="E51" s="127"/>
      <c r="F51" s="112"/>
      <c r="G51" s="126"/>
      <c r="H51" s="144"/>
      <c r="I51" s="99"/>
    </row>
    <row r="52" spans="1:9" ht="11.25">
      <c r="A52" s="110"/>
      <c r="B52" s="138" t="s">
        <v>93</v>
      </c>
      <c r="C52" s="128"/>
      <c r="D52" s="112"/>
      <c r="E52" s="127"/>
      <c r="F52" s="112"/>
      <c r="G52" s="126"/>
      <c r="H52" s="142">
        <f>SUM(H53)</f>
        <v>15000</v>
      </c>
      <c r="I52" s="99"/>
    </row>
    <row r="53" spans="1:9" ht="11.25">
      <c r="A53" s="110"/>
      <c r="B53" s="140" t="s">
        <v>349</v>
      </c>
      <c r="C53" s="128"/>
      <c r="D53" s="112" t="s">
        <v>59</v>
      </c>
      <c r="E53" s="113">
        <v>1</v>
      </c>
      <c r="F53" s="112">
        <v>15000</v>
      </c>
      <c r="G53" s="126"/>
      <c r="H53" s="151">
        <f>E53*F53+G53</f>
        <v>15000</v>
      </c>
      <c r="I53" s="99"/>
    </row>
    <row r="54" spans="1:11" ht="11.25" hidden="1">
      <c r="A54" s="110"/>
      <c r="B54" s="138" t="s">
        <v>94</v>
      </c>
      <c r="C54" s="128"/>
      <c r="D54" s="112"/>
      <c r="E54" s="127"/>
      <c r="F54" s="112"/>
      <c r="G54" s="126"/>
      <c r="H54" s="142">
        <v>0</v>
      </c>
      <c r="I54" s="99"/>
      <c r="K54" s="106"/>
    </row>
    <row r="55" spans="1:9" ht="11.25" hidden="1">
      <c r="A55" s="110"/>
      <c r="B55" s="105" t="s">
        <v>288</v>
      </c>
      <c r="C55" s="126"/>
      <c r="D55" s="112"/>
      <c r="E55" s="127"/>
      <c r="F55" s="112"/>
      <c r="G55" s="126"/>
      <c r="H55" s="144"/>
      <c r="I55" s="99"/>
    </row>
    <row r="56" spans="1:9" ht="11.25" hidden="1">
      <c r="A56" s="110"/>
      <c r="B56" s="138" t="s">
        <v>95</v>
      </c>
      <c r="C56" s="128"/>
      <c r="D56" s="112"/>
      <c r="E56" s="127"/>
      <c r="F56" s="112"/>
      <c r="G56" s="126"/>
      <c r="H56" s="142">
        <v>0</v>
      </c>
      <c r="I56" s="99"/>
    </row>
    <row r="57" spans="1:11" ht="11.25" hidden="1">
      <c r="A57" s="110"/>
      <c r="B57" s="138" t="s">
        <v>96</v>
      </c>
      <c r="C57" s="128"/>
      <c r="D57" s="112"/>
      <c r="E57" s="127"/>
      <c r="F57" s="112"/>
      <c r="G57" s="126"/>
      <c r="H57" s="142">
        <v>0</v>
      </c>
      <c r="I57" s="99"/>
      <c r="K57" s="106"/>
    </row>
    <row r="58" spans="1:9" ht="11.25" customHeight="1">
      <c r="A58" s="110"/>
      <c r="B58" s="204" t="s">
        <v>61</v>
      </c>
      <c r="C58" s="204"/>
      <c r="D58" s="204"/>
      <c r="E58" s="204"/>
      <c r="F58" s="204"/>
      <c r="G58" s="204"/>
      <c r="H58" s="144">
        <f>SUM(H37,H42,H52,H56)*(1+Uhikhinnad!$E$161)</f>
        <v>83610.75</v>
      </c>
      <c r="I58" s="99"/>
    </row>
    <row r="59" spans="1:14" ht="11.25" customHeight="1">
      <c r="A59" s="110"/>
      <c r="B59" s="204" t="s">
        <v>62</v>
      </c>
      <c r="C59" s="204"/>
      <c r="D59" s="204"/>
      <c r="E59" s="204"/>
      <c r="F59" s="204"/>
      <c r="G59" s="204"/>
      <c r="H59" s="144">
        <f>SUM(H40,H45,H54,H57)*(1+Uhikhinnad!$E$161)</f>
        <v>0</v>
      </c>
      <c r="I59" s="99"/>
      <c r="N59" s="122"/>
    </row>
    <row r="60" spans="1:14" ht="11.25">
      <c r="A60" s="129"/>
      <c r="B60" s="205" t="s">
        <v>13</v>
      </c>
      <c r="C60" s="205"/>
      <c r="D60" s="205"/>
      <c r="E60" s="205"/>
      <c r="F60" s="205"/>
      <c r="G60" s="205"/>
      <c r="H60" s="145">
        <f>SUM(H58:H59)</f>
        <v>83610.75</v>
      </c>
      <c r="I60" s="99"/>
      <c r="N60" s="122"/>
    </row>
    <row r="61" spans="1:9" ht="11.25" hidden="1">
      <c r="A61" s="129"/>
      <c r="B61" s="105" t="s">
        <v>133</v>
      </c>
      <c r="C61" s="126"/>
      <c r="D61" s="126"/>
      <c r="E61" s="112"/>
      <c r="F61" s="112"/>
      <c r="G61" s="126"/>
      <c r="H61" s="130"/>
      <c r="I61" s="126"/>
    </row>
    <row r="62" spans="1:9" ht="11.25" hidden="1">
      <c r="A62" s="129"/>
      <c r="B62" s="137" t="s">
        <v>88</v>
      </c>
      <c r="C62" s="126"/>
      <c r="D62" s="126"/>
      <c r="E62" s="112"/>
      <c r="F62" s="112"/>
      <c r="G62" s="126"/>
      <c r="H62" s="130"/>
      <c r="I62" s="126"/>
    </row>
    <row r="63" spans="2:9" ht="11.25" customHeight="1" hidden="1">
      <c r="B63" s="105" t="s">
        <v>131</v>
      </c>
      <c r="C63" s="126"/>
      <c r="D63" s="126"/>
      <c r="E63" s="112"/>
      <c r="F63" s="112"/>
      <c r="G63" s="126"/>
      <c r="H63" s="130"/>
      <c r="I63" s="126"/>
    </row>
    <row r="64" spans="2:9" ht="11.25" customHeight="1" hidden="1">
      <c r="B64" s="138" t="s">
        <v>281</v>
      </c>
      <c r="C64" s="126"/>
      <c r="D64" s="126"/>
      <c r="E64" s="112"/>
      <c r="F64" s="112"/>
      <c r="G64" s="126"/>
      <c r="H64" s="95">
        <v>0</v>
      </c>
      <c r="I64" s="126"/>
    </row>
    <row r="65" spans="2:9" ht="11.25" customHeight="1" hidden="1">
      <c r="B65" s="138" t="s">
        <v>98</v>
      </c>
      <c r="C65" s="126"/>
      <c r="D65" s="126"/>
      <c r="E65" s="112"/>
      <c r="F65" s="112"/>
      <c r="G65" s="126"/>
      <c r="H65" s="95">
        <v>0</v>
      </c>
      <c r="I65" s="126"/>
    </row>
    <row r="66" ht="11.25" customHeight="1" hidden="1">
      <c r="B66" s="105" t="s">
        <v>132</v>
      </c>
    </row>
    <row r="67" spans="2:8" ht="11.25" customHeight="1" hidden="1">
      <c r="B67" s="138" t="s">
        <v>99</v>
      </c>
      <c r="H67" s="95">
        <v>0</v>
      </c>
    </row>
    <row r="68" spans="2:8" ht="11.25" customHeight="1" hidden="1">
      <c r="B68" s="138" t="s">
        <v>100</v>
      </c>
      <c r="H68" s="95">
        <v>0</v>
      </c>
    </row>
    <row r="69" spans="1:9" ht="11.25" customHeight="1" hidden="1">
      <c r="A69" s="110"/>
      <c r="B69" s="204" t="s">
        <v>61</v>
      </c>
      <c r="C69" s="204"/>
      <c r="D69" s="204"/>
      <c r="E69" s="204"/>
      <c r="F69" s="204"/>
      <c r="G69" s="204"/>
      <c r="H69" s="121">
        <f>SUM(H64,H67)*(1+Uhikhinnad!$E$161)</f>
        <v>0</v>
      </c>
      <c r="I69" s="99"/>
    </row>
    <row r="70" spans="1:14" ht="11.25" customHeight="1" hidden="1">
      <c r="A70" s="110"/>
      <c r="B70" s="204" t="s">
        <v>62</v>
      </c>
      <c r="C70" s="204"/>
      <c r="D70" s="204"/>
      <c r="E70" s="204"/>
      <c r="F70" s="204"/>
      <c r="G70" s="204"/>
      <c r="H70" s="121">
        <f>SUM(H65,H68)*(1+Uhikhinnad!$E$161)</f>
        <v>0</v>
      </c>
      <c r="I70" s="99"/>
      <c r="N70" s="122"/>
    </row>
    <row r="71" spans="1:14" ht="11.25" hidden="1">
      <c r="A71" s="129"/>
      <c r="B71" s="205" t="s">
        <v>305</v>
      </c>
      <c r="C71" s="205"/>
      <c r="D71" s="205"/>
      <c r="E71" s="205"/>
      <c r="F71" s="205"/>
      <c r="G71" s="205"/>
      <c r="H71" s="123">
        <f>SUM(H69:H70)</f>
        <v>0</v>
      </c>
      <c r="I71" s="99"/>
      <c r="N71" s="122"/>
    </row>
    <row r="74" spans="7:8" ht="11.25" customHeight="1" hidden="1">
      <c r="G74" s="106" t="s">
        <v>347</v>
      </c>
      <c r="H74" s="152">
        <f>H31+H58</f>
        <v>146481.25</v>
      </c>
    </row>
    <row r="75" spans="7:8" ht="11.25" customHeight="1" hidden="1">
      <c r="G75" s="106" t="s">
        <v>348</v>
      </c>
      <c r="H75" s="152">
        <f>H32+H59</f>
        <v>0</v>
      </c>
    </row>
    <row r="76" spans="7:8" ht="11.25" customHeight="1" hidden="1">
      <c r="G76" s="106" t="s">
        <v>68</v>
      </c>
      <c r="H76" s="152">
        <f>H74+H75</f>
        <v>146481.25</v>
      </c>
    </row>
  </sheetData>
  <sheetProtection/>
  <mergeCells count="9">
    <mergeCell ref="B31:G31"/>
    <mergeCell ref="B70:G70"/>
    <mergeCell ref="B71:G71"/>
    <mergeCell ref="B32:G32"/>
    <mergeCell ref="B33:G33"/>
    <mergeCell ref="B58:G58"/>
    <mergeCell ref="B59:G59"/>
    <mergeCell ref="B60:G60"/>
    <mergeCell ref="B69:G6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="85" zoomScaleNormal="85" zoomScalePageLayoutView="0" workbookViewId="0" topLeftCell="B1">
      <selection activeCell="N58" sqref="N58"/>
    </sheetView>
  </sheetViews>
  <sheetFormatPr defaultColWidth="9.140625" defaultRowHeight="11.25" customHeight="1"/>
  <cols>
    <col min="1" max="1" width="10.00390625" style="42" hidden="1" customWidth="1"/>
    <col min="2" max="2" width="47.00390625" style="100" customWidth="1"/>
    <col min="3" max="3" width="40.28125" style="100" bestFit="1" customWidth="1"/>
    <col min="4" max="4" width="6.8515625" style="100" customWidth="1"/>
    <col min="5" max="5" width="7.57421875" style="100" customWidth="1"/>
    <col min="6" max="6" width="9.8515625" style="100" customWidth="1"/>
    <col min="7" max="7" width="11.8515625" style="100" hidden="1" customWidth="1"/>
    <col min="8" max="8" width="14.57421875" style="59" bestFit="1" customWidth="1"/>
    <col min="9" max="9" width="9.140625" style="100" customWidth="1"/>
    <col min="10" max="10" width="9.28125" style="100" bestFit="1" customWidth="1"/>
    <col min="11" max="13" width="9.140625" style="100" customWidth="1"/>
    <col min="14" max="14" width="10.8515625" style="100" bestFit="1" customWidth="1"/>
    <col min="15" max="16384" width="9.140625" style="100" customWidth="1"/>
  </cols>
  <sheetData>
    <row r="1" spans="2:9" ht="11.25">
      <c r="B1" s="104" t="s">
        <v>319</v>
      </c>
      <c r="C1" s="98"/>
      <c r="D1" s="98"/>
      <c r="E1" s="98"/>
      <c r="F1" s="98"/>
      <c r="G1" s="98"/>
      <c r="H1" s="57"/>
      <c r="I1" s="98"/>
    </row>
    <row r="2" spans="2:9" ht="11.25">
      <c r="B2" s="104" t="s">
        <v>53</v>
      </c>
      <c r="C2" s="98"/>
      <c r="D2" s="98"/>
      <c r="E2" s="98"/>
      <c r="F2" s="98"/>
      <c r="G2" s="98"/>
      <c r="H2" s="57"/>
      <c r="I2" s="98"/>
    </row>
    <row r="3" spans="1:9" ht="11.25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  <c r="I3" s="99"/>
    </row>
    <row r="4" spans="1:13" ht="11.25">
      <c r="A4" s="7"/>
      <c r="B4" s="105" t="s">
        <v>41</v>
      </c>
      <c r="I4" s="99"/>
      <c r="J4" s="106"/>
      <c r="K4" s="106"/>
      <c r="L4" s="106"/>
      <c r="M4" s="106"/>
    </row>
    <row r="5" spans="1:13" ht="11.25" hidden="1">
      <c r="A5" s="7"/>
      <c r="B5" s="137" t="s">
        <v>72</v>
      </c>
      <c r="I5" s="99"/>
      <c r="J5" s="106"/>
      <c r="K5" s="106"/>
      <c r="L5" s="106"/>
      <c r="M5" s="106"/>
    </row>
    <row r="6" spans="1:13" ht="11.25" hidden="1">
      <c r="A6" s="7"/>
      <c r="B6" s="108" t="s">
        <v>87</v>
      </c>
      <c r="H6" s="141"/>
      <c r="I6" s="99"/>
      <c r="J6" s="106"/>
      <c r="K6" s="106"/>
      <c r="L6" s="106"/>
      <c r="M6" s="106"/>
    </row>
    <row r="7" spans="1:13" ht="11.25" hidden="1">
      <c r="A7" s="7"/>
      <c r="B7" s="138" t="s">
        <v>89</v>
      </c>
      <c r="H7" s="142">
        <v>0</v>
      </c>
      <c r="I7" s="99"/>
      <c r="K7" s="106"/>
      <c r="L7" s="106"/>
      <c r="M7" s="106"/>
    </row>
    <row r="8" spans="1:13" ht="11.25" hidden="1">
      <c r="A8" s="7"/>
      <c r="B8" s="138" t="s">
        <v>90</v>
      </c>
      <c r="H8" s="142">
        <v>0</v>
      </c>
      <c r="I8" s="99"/>
      <c r="L8" s="106"/>
      <c r="M8" s="106"/>
    </row>
    <row r="9" spans="1:13" ht="11.25" hidden="1">
      <c r="A9" s="7"/>
      <c r="B9" s="108" t="s">
        <v>271</v>
      </c>
      <c r="H9" s="141"/>
      <c r="I9" s="99"/>
      <c r="J9" s="106"/>
      <c r="K9" s="106"/>
      <c r="L9" s="106"/>
      <c r="M9" s="106"/>
    </row>
    <row r="10" spans="1:13" ht="11.25" hidden="1">
      <c r="A10" s="7"/>
      <c r="B10" s="138" t="s">
        <v>91</v>
      </c>
      <c r="H10" s="142">
        <v>0</v>
      </c>
      <c r="I10" s="99"/>
      <c r="K10" s="106"/>
      <c r="L10" s="106"/>
      <c r="M10" s="106"/>
    </row>
    <row r="11" spans="1:13" ht="11.25" hidden="1">
      <c r="A11" s="7"/>
      <c r="B11" s="138" t="s">
        <v>92</v>
      </c>
      <c r="H11" s="142">
        <v>0</v>
      </c>
      <c r="I11" s="133"/>
      <c r="L11" s="106"/>
      <c r="M11" s="106"/>
    </row>
    <row r="12" spans="1:13" ht="11.25">
      <c r="A12" s="7"/>
      <c r="B12" s="137" t="s">
        <v>73</v>
      </c>
      <c r="H12" s="141"/>
      <c r="I12" s="99"/>
      <c r="L12" s="106"/>
      <c r="M12" s="106"/>
    </row>
    <row r="13" spans="1:9" ht="11.25">
      <c r="A13" s="110"/>
      <c r="B13" s="108" t="s">
        <v>272</v>
      </c>
      <c r="C13" s="116"/>
      <c r="D13" s="117"/>
      <c r="E13" s="118"/>
      <c r="F13" s="117"/>
      <c r="G13" s="117"/>
      <c r="H13" s="144"/>
      <c r="I13" s="99"/>
    </row>
    <row r="14" spans="1:9" ht="11.25">
      <c r="A14" s="110"/>
      <c r="B14" s="138" t="s">
        <v>273</v>
      </c>
      <c r="C14" s="116"/>
      <c r="D14" s="117"/>
      <c r="E14" s="118"/>
      <c r="F14" s="117"/>
      <c r="G14" s="117"/>
      <c r="H14" s="142">
        <f>SUM(H15:H16)</f>
        <v>351220</v>
      </c>
      <c r="I14" s="99"/>
    </row>
    <row r="15" spans="1:9" ht="11.25">
      <c r="A15" s="110" t="s">
        <v>163</v>
      </c>
      <c r="B15" s="111" t="str">
        <f>VLOOKUP(A15,Uhikhinnad!$A$6:$F$156,2,FALSE)</f>
        <v>veetoru</v>
      </c>
      <c r="C15" s="111" t="str">
        <f>VLOOKUP(A15,Uhikhinnad!$A$6:$F$156,3,FALSE)</f>
        <v>De32-De110</v>
      </c>
      <c r="D15" s="112" t="str">
        <f>VLOOKUP(A15,Uhikhinnad!$A$6:$F$156,4,FALSE)</f>
        <v>m</v>
      </c>
      <c r="E15" s="113">
        <v>3750</v>
      </c>
      <c r="F15" s="112">
        <v>90</v>
      </c>
      <c r="G15" s="112">
        <f>VLOOKUP(A15,Uhikhinnad!$A$6:$F$156,6,FALSE)</f>
        <v>0</v>
      </c>
      <c r="H15" s="143">
        <f>E15*F15+G15</f>
        <v>337500</v>
      </c>
      <c r="I15" s="99"/>
    </row>
    <row r="16" spans="1:9" ht="11.25">
      <c r="A16" s="110">
        <v>202</v>
      </c>
      <c r="B16" s="111" t="str">
        <f>VLOOKUP(A16,Uhikhinnad!$A$6:$F$156,2,FALSE)</f>
        <v>majaühendus</v>
      </c>
      <c r="C16" s="111" t="str">
        <f>VLOOKUP(A16,Uhikhinnad!$A$6:$F$156,3,FALSE)</f>
        <v>Toru, maakraan, otsakork</v>
      </c>
      <c r="D16" s="112" t="str">
        <f>VLOOKUP(A16,Uhikhinnad!$A$6:$F$156,4,FALSE)</f>
        <v>kmpl</v>
      </c>
      <c r="E16" s="113">
        <v>49</v>
      </c>
      <c r="F16" s="112">
        <v>280</v>
      </c>
      <c r="G16" s="112">
        <f>VLOOKUP(A16,Uhikhinnad!$A$6:$F$156,6,FALSE)</f>
        <v>0</v>
      </c>
      <c r="H16" s="143">
        <f>E16*F16+G16</f>
        <v>13720</v>
      </c>
      <c r="I16" s="99"/>
    </row>
    <row r="17" spans="1:9" ht="11.25" hidden="1">
      <c r="A17" s="110"/>
      <c r="B17" s="138"/>
      <c r="C17" s="116"/>
      <c r="D17" s="117"/>
      <c r="E17" s="118"/>
      <c r="F17" s="117"/>
      <c r="G17" s="117"/>
      <c r="H17" s="142"/>
      <c r="I17" s="99"/>
    </row>
    <row r="18" spans="1:9" ht="11.25" hidden="1">
      <c r="A18" s="110"/>
      <c r="B18" s="138" t="s">
        <v>275</v>
      </c>
      <c r="C18" s="120"/>
      <c r="D18" s="99"/>
      <c r="E18" s="99"/>
      <c r="F18" s="99"/>
      <c r="G18" s="99"/>
      <c r="H18" s="142">
        <v>0</v>
      </c>
      <c r="I18" s="99"/>
    </row>
    <row r="19" spans="1:9" ht="11.25" hidden="1">
      <c r="A19" s="110"/>
      <c r="B19" s="108" t="s">
        <v>82</v>
      </c>
      <c r="C19" s="116"/>
      <c r="D19" s="117"/>
      <c r="E19" s="118"/>
      <c r="F19" s="117"/>
      <c r="G19" s="117"/>
      <c r="H19" s="144"/>
      <c r="I19" s="99"/>
    </row>
    <row r="20" spans="1:9" ht="11.25" hidden="1">
      <c r="A20" s="110"/>
      <c r="B20" s="138" t="s">
        <v>274</v>
      </c>
      <c r="C20" s="116"/>
      <c r="D20" s="117"/>
      <c r="E20" s="118"/>
      <c r="F20" s="117"/>
      <c r="G20" s="117"/>
      <c r="H20" s="142">
        <v>0</v>
      </c>
      <c r="I20" s="99"/>
    </row>
    <row r="21" spans="1:9" ht="11.25" hidden="1">
      <c r="A21" s="110"/>
      <c r="B21" s="138" t="s">
        <v>276</v>
      </c>
      <c r="C21" s="120"/>
      <c r="D21" s="99"/>
      <c r="E21" s="99"/>
      <c r="F21" s="99"/>
      <c r="G21" s="99"/>
      <c r="H21" s="142">
        <f>SUM(H22:H27)</f>
        <v>0</v>
      </c>
      <c r="I21" s="99"/>
    </row>
    <row r="22" spans="1:13" s="98" customFormat="1" ht="11.25" hidden="1">
      <c r="A22" s="110" t="s">
        <v>163</v>
      </c>
      <c r="B22" s="111" t="str">
        <f>VLOOKUP(A22,Uhikhinnad!$A$6:$F$156,2,FALSE)</f>
        <v>veetoru</v>
      </c>
      <c r="C22" s="111" t="str">
        <f>VLOOKUP(A22,Uhikhinnad!$A$6:$F$156,3,FALSE)</f>
        <v>De32-De110</v>
      </c>
      <c r="D22" s="112" t="str">
        <f>VLOOKUP(A22,Uhikhinnad!$A$6:$F$156,4,FALSE)</f>
        <v>m</v>
      </c>
      <c r="E22" s="113"/>
      <c r="F22" s="112"/>
      <c r="G22" s="112">
        <f>VLOOKUP(A22,Uhikhinnad!$A$6:$F$156,6,FALSE)</f>
        <v>0</v>
      </c>
      <c r="H22" s="143">
        <f aca="true" t="shared" si="0" ref="H22:H27">E22*F22+G22</f>
        <v>0</v>
      </c>
      <c r="I22" s="99"/>
      <c r="J22" s="100"/>
      <c r="K22" s="115"/>
      <c r="L22" s="115"/>
      <c r="M22" s="115"/>
    </row>
    <row r="23" spans="1:13" s="98" customFormat="1" ht="11.25" hidden="1">
      <c r="A23" s="110" t="s">
        <v>240</v>
      </c>
      <c r="B23" s="111" t="str">
        <f>VLOOKUP(A23,Uhikhinnad!$A$6:$F$156,2,FALSE)</f>
        <v>tuletõrjevee toru</v>
      </c>
      <c r="C23" s="111" t="str">
        <f>VLOOKUP(A23,Uhikhinnad!$A$6:$F$156,3,FALSE)</f>
        <v>DN100</v>
      </c>
      <c r="D23" s="112" t="str">
        <f>VLOOKUP(A23,Uhikhinnad!$A$6:$F$156,4,FALSE)</f>
        <v>m</v>
      </c>
      <c r="E23" s="113"/>
      <c r="F23" s="112"/>
      <c r="G23" s="112">
        <f>VLOOKUP(A23,Uhikhinnad!$A$6:$F$156,6,FALSE)</f>
        <v>0</v>
      </c>
      <c r="H23" s="143">
        <f t="shared" si="0"/>
        <v>0</v>
      </c>
      <c r="I23" s="99"/>
      <c r="J23" s="100"/>
      <c r="K23" s="115"/>
      <c r="L23" s="115"/>
      <c r="M23" s="115"/>
    </row>
    <row r="24" spans="1:13" s="98" customFormat="1" ht="11.25" hidden="1">
      <c r="A24" s="110">
        <v>202</v>
      </c>
      <c r="B24" s="111" t="str">
        <f>VLOOKUP(A24,Uhikhinnad!$A$6:$F$156,2,FALSE)</f>
        <v>majaühendus</v>
      </c>
      <c r="C24" s="111" t="str">
        <f>VLOOKUP(A24,Uhikhinnad!$A$6:$F$156,3,FALSE)</f>
        <v>Toru, maakraan, otsakork</v>
      </c>
      <c r="D24" s="112" t="str">
        <f>VLOOKUP(A24,Uhikhinnad!$A$6:$F$156,4,FALSE)</f>
        <v>kmpl</v>
      </c>
      <c r="E24" s="113"/>
      <c r="F24" s="112"/>
      <c r="G24" s="112">
        <f>VLOOKUP(A24,Uhikhinnad!$A$6:$F$156,6,FALSE)</f>
        <v>0</v>
      </c>
      <c r="H24" s="143">
        <f t="shared" si="0"/>
        <v>0</v>
      </c>
      <c r="I24" s="99"/>
      <c r="J24" s="100"/>
      <c r="K24" s="115"/>
      <c r="L24" s="115"/>
      <c r="M24" s="115"/>
    </row>
    <row r="25" spans="1:13" s="98" customFormat="1" ht="11.25" hidden="1">
      <c r="A25" s="110" t="s">
        <v>290</v>
      </c>
      <c r="B25" s="111" t="str">
        <f>VLOOKUP(A25,Uhikhinnad!$A$6:$F$156,2,FALSE)</f>
        <v>maapealne soojustatud hüdrant</v>
      </c>
      <c r="C25" s="111" t="str">
        <f>VLOOKUP(A25,Uhikhinnad!$A$6:$F$156,3,FALSE)</f>
        <v>DN100 ühendus</v>
      </c>
      <c r="D25" s="112" t="str">
        <f>VLOOKUP(A25,Uhikhinnad!$A$6:$F$156,4,FALSE)</f>
        <v>tk</v>
      </c>
      <c r="E25" s="113"/>
      <c r="F25" s="112"/>
      <c r="G25" s="112">
        <f>VLOOKUP(A25,Uhikhinnad!$A$6:$F$156,6,FALSE)</f>
        <v>0</v>
      </c>
      <c r="H25" s="143">
        <f t="shared" si="0"/>
        <v>0</v>
      </c>
      <c r="I25" s="99"/>
      <c r="J25" s="100"/>
      <c r="K25" s="115"/>
      <c r="L25" s="115"/>
      <c r="M25" s="115"/>
    </row>
    <row r="26" spans="1:13" s="98" customFormat="1" ht="11.25" hidden="1">
      <c r="A26" s="110" t="s">
        <v>218</v>
      </c>
      <c r="B26" s="111" t="str">
        <f>VLOOKUP(A26,Uhikhinnad!$A$6:$F$156,2,FALSE)</f>
        <v>tuletõrjevee mahuti rajamine</v>
      </c>
      <c r="C26" s="111" t="str">
        <f>VLOOKUP(A26,Uhikhinnad!$A$6:$F$156,3,FALSE)</f>
        <v>betoon (50 - 200 m3)</v>
      </c>
      <c r="D26" s="112" t="str">
        <f>VLOOKUP(A26,Uhikhinnad!$A$6:$F$156,4,FALSE)</f>
        <v>m3</v>
      </c>
      <c r="E26" s="113"/>
      <c r="F26" s="112"/>
      <c r="G26" s="112">
        <f>VLOOKUP(A26,Uhikhinnad!$A$6:$F$156,6,FALSE)</f>
        <v>0</v>
      </c>
      <c r="H26" s="143">
        <f t="shared" si="0"/>
        <v>0</v>
      </c>
      <c r="I26" s="99"/>
      <c r="K26" s="115"/>
      <c r="L26" s="115"/>
      <c r="M26" s="115"/>
    </row>
    <row r="27" spans="1:13" s="98" customFormat="1" ht="11.25" hidden="1">
      <c r="A27" s="110" t="s">
        <v>218</v>
      </c>
      <c r="B27" s="111" t="str">
        <f>VLOOKUP(A27,Uhikhinnad!$A$6:$F$156,2,FALSE)</f>
        <v>tuletõrjevee mahuti rajamine</v>
      </c>
      <c r="C27" s="111" t="str">
        <f>VLOOKUP(A27,Uhikhinnad!$A$6:$F$156,3,FALSE)</f>
        <v>betoon (50 - 200 m3)</v>
      </c>
      <c r="D27" s="112" t="str">
        <f>VLOOKUP(A27,Uhikhinnad!$A$6:$F$156,4,FALSE)</f>
        <v>m3</v>
      </c>
      <c r="E27" s="113"/>
      <c r="F27" s="112"/>
      <c r="G27" s="112">
        <f>VLOOKUP(A27,Uhikhinnad!$A$6:$F$156,6,FALSE)</f>
        <v>0</v>
      </c>
      <c r="H27" s="143">
        <f t="shared" si="0"/>
        <v>0</v>
      </c>
      <c r="I27" s="99"/>
      <c r="K27" s="115"/>
      <c r="L27" s="115"/>
      <c r="M27" s="115"/>
    </row>
    <row r="28" spans="1:9" ht="11.25" customHeight="1">
      <c r="A28" s="110"/>
      <c r="B28" s="204" t="s">
        <v>61</v>
      </c>
      <c r="C28" s="204"/>
      <c r="D28" s="204"/>
      <c r="E28" s="204"/>
      <c r="F28" s="204"/>
      <c r="G28" s="204"/>
      <c r="H28" s="144">
        <f>(H7+H10+H14+H20)*(1+Uhikhinnad!$E$161)</f>
        <v>403902.99999999994</v>
      </c>
      <c r="I28" s="99"/>
    </row>
    <row r="29" spans="1:9" ht="11.25" customHeight="1">
      <c r="A29" s="110"/>
      <c r="B29" s="204" t="s">
        <v>62</v>
      </c>
      <c r="C29" s="204"/>
      <c r="D29" s="204"/>
      <c r="E29" s="204"/>
      <c r="F29" s="204"/>
      <c r="G29" s="204"/>
      <c r="H29" s="144">
        <f>SUM(H8,H11,H18,H21)*(1+Uhikhinnad!$E$161)</f>
        <v>0</v>
      </c>
      <c r="I29" s="99"/>
    </row>
    <row r="30" spans="1:9" ht="11.25">
      <c r="A30" s="110"/>
      <c r="B30" s="205" t="s">
        <v>45</v>
      </c>
      <c r="C30" s="205"/>
      <c r="D30" s="205"/>
      <c r="E30" s="205"/>
      <c r="F30" s="205"/>
      <c r="G30" s="205"/>
      <c r="H30" s="145">
        <f>SUM(H28:H29)</f>
        <v>403902.99999999994</v>
      </c>
      <c r="I30" s="99"/>
    </row>
    <row r="31" spans="1:9" ht="11.25">
      <c r="A31" s="124"/>
      <c r="B31" s="105" t="s">
        <v>32</v>
      </c>
      <c r="C31" s="116"/>
      <c r="D31" s="117"/>
      <c r="E31" s="118"/>
      <c r="F31" s="117"/>
      <c r="G31" s="117"/>
      <c r="H31" s="125"/>
      <c r="I31" s="99"/>
    </row>
    <row r="32" spans="1:9" ht="11.25">
      <c r="A32" s="124"/>
      <c r="B32" s="137" t="s">
        <v>74</v>
      </c>
      <c r="C32" s="116"/>
      <c r="D32" s="117"/>
      <c r="E32" s="118"/>
      <c r="F32" s="117"/>
      <c r="G32" s="117"/>
      <c r="H32" s="125"/>
      <c r="I32" s="99"/>
    </row>
    <row r="33" spans="1:9" ht="11.25">
      <c r="A33" s="110"/>
      <c r="B33" s="105" t="s">
        <v>270</v>
      </c>
      <c r="C33" s="126"/>
      <c r="D33" s="112"/>
      <c r="E33" s="139"/>
      <c r="F33" s="126"/>
      <c r="G33" s="126"/>
      <c r="H33" s="144"/>
      <c r="I33" s="99"/>
    </row>
    <row r="34" spans="1:9" ht="11.25">
      <c r="A34" s="110"/>
      <c r="B34" s="138" t="s">
        <v>279</v>
      </c>
      <c r="C34" s="128"/>
      <c r="D34" s="112"/>
      <c r="E34" s="139"/>
      <c r="F34" s="126"/>
      <c r="G34" s="126"/>
      <c r="H34" s="142">
        <f>SUM(H35:H36)</f>
        <v>91440</v>
      </c>
      <c r="I34" s="99"/>
    </row>
    <row r="35" spans="1:9" ht="11.25">
      <c r="A35" s="110" t="s">
        <v>152</v>
      </c>
      <c r="B35" s="111" t="str">
        <f>VLOOKUP(A35,Uhikhinnad!$A$6:$F$156,2,FALSE)</f>
        <v>isevoolne kan.toru </v>
      </c>
      <c r="C35" s="111" t="str">
        <f>VLOOKUP(A35,Uhikhinnad!$A$6:$F$156,3,FALSE)</f>
        <v>De160-De315</v>
      </c>
      <c r="D35" s="112" t="str">
        <f>VLOOKUP(A35,Uhikhinnad!$A$6:$F$156,4,FALSE)</f>
        <v>m</v>
      </c>
      <c r="E35" s="113">
        <v>640</v>
      </c>
      <c r="F35" s="112">
        <v>135</v>
      </c>
      <c r="G35" s="112">
        <f>VLOOKUP(A35,Uhikhinnad!$A$6:$F$156,6,FALSE)</f>
        <v>0</v>
      </c>
      <c r="H35" s="143">
        <f>E35*F35+G35</f>
        <v>86400</v>
      </c>
      <c r="I35" s="99"/>
    </row>
    <row r="36" spans="1:9" ht="11.25">
      <c r="A36" s="110">
        <v>304</v>
      </c>
      <c r="B36" s="111" t="str">
        <f>VLOOKUP(A36,Uhikhinnad!$A$6:$F$156,2,FALSE)</f>
        <v>majaühendus</v>
      </c>
      <c r="C36" s="111" t="str">
        <f>VLOOKUP(A36,Uhikhinnad!$A$6:$F$156,3,FALSE)</f>
        <v>Kontrollkaev De200, torustik ja otsakork</v>
      </c>
      <c r="D36" s="112" t="str">
        <f>VLOOKUP(A36,Uhikhinnad!$A$6:$F$156,4,FALSE)</f>
        <v>kmpl</v>
      </c>
      <c r="E36" s="113">
        <v>18</v>
      </c>
      <c r="F36" s="112">
        <v>280</v>
      </c>
      <c r="G36" s="112">
        <f>VLOOKUP(A36,Uhikhinnad!$A$6:$F$156,6,FALSE)</f>
        <v>0</v>
      </c>
      <c r="H36" s="143">
        <f>E36*F36+G36</f>
        <v>5040</v>
      </c>
      <c r="I36" s="99"/>
    </row>
    <row r="37" spans="1:11" ht="11.25" hidden="1">
      <c r="A37" s="110"/>
      <c r="B37" s="138" t="s">
        <v>277</v>
      </c>
      <c r="C37" s="128"/>
      <c r="D37" s="112"/>
      <c r="E37" s="139"/>
      <c r="F37" s="126"/>
      <c r="G37" s="126"/>
      <c r="H37" s="142">
        <f>SUM(H38:H39)</f>
        <v>0</v>
      </c>
      <c r="I37" s="99"/>
      <c r="K37" s="106"/>
    </row>
    <row r="38" spans="1:9" ht="11.25" hidden="1">
      <c r="A38" s="110" t="s">
        <v>152</v>
      </c>
      <c r="B38" s="111" t="str">
        <f>VLOOKUP(A38,Uhikhinnad!$A$6:$F$156,2,FALSE)</f>
        <v>isevoolne kan.toru </v>
      </c>
      <c r="C38" s="111" t="str">
        <f>VLOOKUP(A38,Uhikhinnad!$A$6:$F$156,3,FALSE)</f>
        <v>De160-De315</v>
      </c>
      <c r="D38" s="112" t="str">
        <f>VLOOKUP(A38,Uhikhinnad!$A$6:$F$156,4,FALSE)</f>
        <v>m</v>
      </c>
      <c r="E38" s="113"/>
      <c r="F38" s="112"/>
      <c r="G38" s="112">
        <f>VLOOKUP(A38,Uhikhinnad!$A$6:$F$156,6,FALSE)</f>
        <v>0</v>
      </c>
      <c r="H38" s="143">
        <f>E38*F38+G38</f>
        <v>0</v>
      </c>
      <c r="I38" s="99"/>
    </row>
    <row r="39" spans="1:9" ht="11.25" hidden="1">
      <c r="A39" s="110">
        <v>304</v>
      </c>
      <c r="B39" s="111" t="str">
        <f>VLOOKUP(A39,Uhikhinnad!$A$6:$F$156,2,FALSE)</f>
        <v>majaühendus</v>
      </c>
      <c r="C39" s="111" t="str">
        <f>VLOOKUP(A39,Uhikhinnad!$A$6:$F$156,3,FALSE)</f>
        <v>Kontrollkaev De200, torustik ja otsakork</v>
      </c>
      <c r="D39" s="112" t="str">
        <f>VLOOKUP(A39,Uhikhinnad!$A$6:$F$156,4,FALSE)</f>
        <v>kmpl</v>
      </c>
      <c r="E39" s="113"/>
      <c r="F39" s="112"/>
      <c r="G39" s="112">
        <f>VLOOKUP(A39,Uhikhinnad!$A$6:$F$156,6,FALSE)</f>
        <v>0</v>
      </c>
      <c r="H39" s="143">
        <f>E39*F39+G39</f>
        <v>0</v>
      </c>
      <c r="I39" s="99"/>
    </row>
    <row r="40" spans="1:9" ht="11.25">
      <c r="A40" s="110"/>
      <c r="B40" s="105" t="s">
        <v>123</v>
      </c>
      <c r="C40" s="126"/>
      <c r="D40" s="112"/>
      <c r="E40" s="139"/>
      <c r="F40" s="126"/>
      <c r="G40" s="126"/>
      <c r="H40" s="144"/>
      <c r="I40" s="99"/>
    </row>
    <row r="41" spans="1:9" ht="11.25">
      <c r="A41" s="110"/>
      <c r="B41" s="138" t="s">
        <v>280</v>
      </c>
      <c r="C41" s="128"/>
      <c r="D41" s="112"/>
      <c r="E41" s="139"/>
      <c r="F41" s="126"/>
      <c r="G41" s="126"/>
      <c r="H41" s="142">
        <f>SUM(H42:H45)</f>
        <v>115070</v>
      </c>
      <c r="I41" s="99"/>
    </row>
    <row r="42" spans="1:9" ht="11.25">
      <c r="A42" s="110" t="s">
        <v>152</v>
      </c>
      <c r="B42" s="111" t="str">
        <f>VLOOKUP(A42,Uhikhinnad!$A$6:$F$156,2,FALSE)</f>
        <v>isevoolne kan.toru </v>
      </c>
      <c r="C42" s="111" t="str">
        <f>VLOOKUP(A42,Uhikhinnad!$A$6:$F$156,3,FALSE)</f>
        <v>De160-De315</v>
      </c>
      <c r="D42" s="112" t="str">
        <f>VLOOKUP(A42,Uhikhinnad!$A$6:$F$156,4,FALSE)</f>
        <v>m</v>
      </c>
      <c r="E42" s="113">
        <v>530</v>
      </c>
      <c r="F42" s="112">
        <v>135</v>
      </c>
      <c r="G42" s="112">
        <f>VLOOKUP(A42,Uhikhinnad!$A$6:$F$156,6,FALSE)</f>
        <v>0</v>
      </c>
      <c r="H42" s="143">
        <f>E42*F42+G42</f>
        <v>71550</v>
      </c>
      <c r="I42" s="99"/>
    </row>
    <row r="43" spans="1:9" ht="11.25">
      <c r="A43" s="110" t="s">
        <v>160</v>
      </c>
      <c r="B43" s="111" t="str">
        <f>VLOOKUP(A43,Uhikhinnad!$A$6:$F$156,2,FALSE)</f>
        <v>väike reoveepumpla </v>
      </c>
      <c r="C43" s="111" t="str">
        <f>VLOOKUP(A43,Uhikhinnad!$A$6:$F$156,3,FALSE)</f>
        <v>Qarv ≤ 5 l/s</v>
      </c>
      <c r="D43" s="112" t="str">
        <f>VLOOKUP(A43,Uhikhinnad!$A$6:$F$156,4,FALSE)</f>
        <v>kmpl</v>
      </c>
      <c r="E43" s="113">
        <v>1</v>
      </c>
      <c r="F43" s="112">
        <v>29000</v>
      </c>
      <c r="G43" s="112">
        <f>VLOOKUP(A43,Uhikhinnad!$A$6:$F$156,6,FALSE)</f>
        <v>0</v>
      </c>
      <c r="H43" s="143">
        <f>E43*F43+G43</f>
        <v>29000</v>
      </c>
      <c r="I43" s="99"/>
    </row>
    <row r="44" spans="1:9" ht="11.25">
      <c r="A44" s="110">
        <v>302</v>
      </c>
      <c r="B44" s="111" t="str">
        <f>VLOOKUP(A44,Uhikhinnad!$A$6:$F$156,2,FALSE)</f>
        <v>survekanalisatsioonitoru</v>
      </c>
      <c r="C44" s="111">
        <f>VLOOKUP(A44,Uhikhinnad!$A$6:$F$156,3,FALSE)</f>
        <v>0</v>
      </c>
      <c r="D44" s="112" t="str">
        <f>VLOOKUP(A44,Uhikhinnad!$A$6:$F$156,4,FALSE)</f>
        <v>m</v>
      </c>
      <c r="E44" s="113">
        <v>150</v>
      </c>
      <c r="F44" s="112">
        <v>80</v>
      </c>
      <c r="G44" s="112">
        <f>VLOOKUP(A44,Uhikhinnad!$A$6:$F$156,6,FALSE)</f>
        <v>0</v>
      </c>
      <c r="H44" s="143">
        <f>E44*F44+G44</f>
        <v>12000</v>
      </c>
      <c r="I44" s="99"/>
    </row>
    <row r="45" spans="1:9" ht="11.25">
      <c r="A45" s="110">
        <v>304</v>
      </c>
      <c r="B45" s="111" t="str">
        <f>VLOOKUP(A45,Uhikhinnad!$A$6:$F$156,2,FALSE)</f>
        <v>majaühendus</v>
      </c>
      <c r="C45" s="111" t="str">
        <f>VLOOKUP(A45,Uhikhinnad!$A$6:$F$156,3,FALSE)</f>
        <v>Kontrollkaev De200, torustik ja otsakork</v>
      </c>
      <c r="D45" s="112" t="str">
        <f>VLOOKUP(A45,Uhikhinnad!$A$6:$F$156,4,FALSE)</f>
        <v>kmpl</v>
      </c>
      <c r="E45" s="113">
        <v>9</v>
      </c>
      <c r="F45" s="112">
        <v>280</v>
      </c>
      <c r="G45" s="112">
        <f>VLOOKUP(A45,Uhikhinnad!$A$6:$F$156,6,FALSE)</f>
        <v>0</v>
      </c>
      <c r="H45" s="143">
        <f>E45*F45+G45</f>
        <v>2520</v>
      </c>
      <c r="I45" s="99"/>
    </row>
    <row r="46" spans="1:11" ht="11.25" hidden="1">
      <c r="A46" s="110"/>
      <c r="B46" s="138" t="s">
        <v>278</v>
      </c>
      <c r="C46" s="128"/>
      <c r="D46" s="112"/>
      <c r="E46" s="139"/>
      <c r="F46" s="126"/>
      <c r="G46" s="126"/>
      <c r="H46" s="142">
        <f>SUM(H47:H50)</f>
        <v>0</v>
      </c>
      <c r="I46" s="99"/>
      <c r="K46" s="106"/>
    </row>
    <row r="47" spans="1:9" ht="11.25" hidden="1">
      <c r="A47" s="110" t="s">
        <v>152</v>
      </c>
      <c r="B47" s="111" t="str">
        <f>VLOOKUP(A47,Uhikhinnad!$A$6:$F$156,2,FALSE)</f>
        <v>isevoolne kan.toru </v>
      </c>
      <c r="C47" s="111" t="str">
        <f>VLOOKUP(A47,Uhikhinnad!$A$6:$F$156,3,FALSE)</f>
        <v>De160-De315</v>
      </c>
      <c r="D47" s="112" t="str">
        <f>VLOOKUP(A47,Uhikhinnad!$A$6:$F$156,4,FALSE)</f>
        <v>m</v>
      </c>
      <c r="E47" s="113"/>
      <c r="F47" s="112"/>
      <c r="G47" s="112">
        <f>VLOOKUP(A47,Uhikhinnad!$A$6:$F$156,6,FALSE)</f>
        <v>0</v>
      </c>
      <c r="H47" s="143">
        <f>E47*F47+G47</f>
        <v>0</v>
      </c>
      <c r="I47" s="99"/>
    </row>
    <row r="48" spans="1:9" ht="11.25" hidden="1">
      <c r="A48" s="110" t="s">
        <v>153</v>
      </c>
      <c r="B48" s="111" t="str">
        <f>VLOOKUP(A48,Uhikhinnad!$A$6:$F$156,2,FALSE)</f>
        <v>survekanalisatsioonitoru</v>
      </c>
      <c r="C48" s="111" t="str">
        <f>VLOOKUP(A48,Uhikhinnad!$A$6:$F$156,3,FALSE)</f>
        <v>De63-De110</v>
      </c>
      <c r="D48" s="112" t="str">
        <f>VLOOKUP(A48,Uhikhinnad!$A$6:$F$156,4,FALSE)</f>
        <v>m</v>
      </c>
      <c r="E48" s="113"/>
      <c r="F48" s="112"/>
      <c r="G48" s="112">
        <f>VLOOKUP(A48,Uhikhinnad!$A$6:$F$156,6,FALSE)</f>
        <v>0</v>
      </c>
      <c r="H48" s="143">
        <f>E48*F48+G48</f>
        <v>0</v>
      </c>
      <c r="I48" s="99"/>
    </row>
    <row r="49" spans="1:9" ht="11.25" hidden="1">
      <c r="A49" s="110" t="s">
        <v>160</v>
      </c>
      <c r="B49" s="111" t="str">
        <f>VLOOKUP(A49,Uhikhinnad!$A$6:$F$156,2,FALSE)</f>
        <v>väike reoveepumpla </v>
      </c>
      <c r="C49" s="111" t="str">
        <f>VLOOKUP(A49,Uhikhinnad!$A$6:$F$156,3,FALSE)</f>
        <v>Qarv ≤ 5 l/s</v>
      </c>
      <c r="D49" s="112" t="str">
        <f>VLOOKUP(A49,Uhikhinnad!$A$6:$F$156,4,FALSE)</f>
        <v>kmpl</v>
      </c>
      <c r="E49" s="113"/>
      <c r="F49" s="112"/>
      <c r="G49" s="112">
        <f>VLOOKUP(A49,Uhikhinnad!$A$6:$F$156,6,FALSE)</f>
        <v>0</v>
      </c>
      <c r="H49" s="143">
        <f>E49*F49+G49</f>
        <v>0</v>
      </c>
      <c r="I49" s="99"/>
    </row>
    <row r="50" spans="1:9" ht="11.25" hidden="1">
      <c r="A50" s="110">
        <v>304</v>
      </c>
      <c r="B50" s="111" t="str">
        <f>VLOOKUP(A50,Uhikhinnad!$A$6:$F$156,2,FALSE)</f>
        <v>majaühendus</v>
      </c>
      <c r="C50" s="111" t="str">
        <f>VLOOKUP(A50,Uhikhinnad!$A$6:$F$156,3,FALSE)</f>
        <v>Kontrollkaev De200, torustik ja otsakork</v>
      </c>
      <c r="D50" s="112" t="str">
        <f>VLOOKUP(A50,Uhikhinnad!$A$6:$F$156,4,FALSE)</f>
        <v>kmpl</v>
      </c>
      <c r="E50" s="113"/>
      <c r="F50" s="112"/>
      <c r="G50" s="112">
        <f>VLOOKUP(A50,Uhikhinnad!$A$6:$F$156,6,FALSE)</f>
        <v>0</v>
      </c>
      <c r="H50" s="143">
        <f>E50*F50+G50</f>
        <v>0</v>
      </c>
      <c r="I50" s="99"/>
    </row>
    <row r="51" spans="1:9" ht="11.25" hidden="1">
      <c r="A51" s="124"/>
      <c r="B51" s="137" t="s">
        <v>75</v>
      </c>
      <c r="C51" s="116"/>
      <c r="D51" s="117"/>
      <c r="E51" s="118"/>
      <c r="F51" s="117"/>
      <c r="G51" s="117"/>
      <c r="H51" s="146"/>
      <c r="I51" s="99"/>
    </row>
    <row r="52" spans="1:9" ht="11.25" hidden="1">
      <c r="A52" s="110"/>
      <c r="B52" s="105" t="s">
        <v>287</v>
      </c>
      <c r="C52" s="126"/>
      <c r="D52" s="112"/>
      <c r="E52" s="139"/>
      <c r="F52" s="126"/>
      <c r="G52" s="126"/>
      <c r="H52" s="144"/>
      <c r="I52" s="99"/>
    </row>
    <row r="53" spans="1:9" ht="11.25" hidden="1">
      <c r="A53" s="110"/>
      <c r="B53" s="138" t="s">
        <v>93</v>
      </c>
      <c r="C53" s="128"/>
      <c r="D53" s="112"/>
      <c r="E53" s="139"/>
      <c r="F53" s="126"/>
      <c r="G53" s="126"/>
      <c r="H53" s="142">
        <v>0</v>
      </c>
      <c r="I53" s="99"/>
    </row>
    <row r="54" spans="1:11" ht="11.25" hidden="1">
      <c r="A54" s="110"/>
      <c r="B54" s="138" t="s">
        <v>94</v>
      </c>
      <c r="C54" s="128"/>
      <c r="D54" s="112"/>
      <c r="E54" s="139"/>
      <c r="F54" s="126"/>
      <c r="G54" s="126"/>
      <c r="H54" s="142">
        <v>0</v>
      </c>
      <c r="I54" s="99"/>
      <c r="K54" s="106"/>
    </row>
    <row r="55" spans="1:9" ht="11.25" hidden="1">
      <c r="A55" s="110"/>
      <c r="B55" s="105" t="s">
        <v>288</v>
      </c>
      <c r="C55" s="126"/>
      <c r="D55" s="112"/>
      <c r="E55" s="139"/>
      <c r="F55" s="126"/>
      <c r="G55" s="126"/>
      <c r="H55" s="144"/>
      <c r="I55" s="99"/>
    </row>
    <row r="56" spans="1:9" ht="11.25" hidden="1">
      <c r="A56" s="110"/>
      <c r="B56" s="138" t="s">
        <v>95</v>
      </c>
      <c r="C56" s="128"/>
      <c r="D56" s="112"/>
      <c r="E56" s="139"/>
      <c r="F56" s="126"/>
      <c r="G56" s="126"/>
      <c r="H56" s="142">
        <v>0</v>
      </c>
      <c r="I56" s="99"/>
    </row>
    <row r="57" spans="1:11" ht="11.25" hidden="1">
      <c r="A57" s="110"/>
      <c r="B57" s="138" t="s">
        <v>96</v>
      </c>
      <c r="C57" s="128"/>
      <c r="D57" s="112"/>
      <c r="E57" s="139"/>
      <c r="F57" s="126"/>
      <c r="G57" s="126"/>
      <c r="H57" s="142">
        <v>0</v>
      </c>
      <c r="I57" s="99"/>
      <c r="K57" s="106"/>
    </row>
    <row r="58" spans="1:9" ht="11.25" customHeight="1">
      <c r="A58" s="110"/>
      <c r="B58" s="204" t="s">
        <v>61</v>
      </c>
      <c r="C58" s="204"/>
      <c r="D58" s="204"/>
      <c r="E58" s="204"/>
      <c r="F58" s="204"/>
      <c r="G58" s="204"/>
      <c r="H58" s="144">
        <f>SUM(H34,H41,H53,H56)*(1+Uhikhinnad!$E$161)</f>
        <v>237486.49999999997</v>
      </c>
      <c r="I58" s="99"/>
    </row>
    <row r="59" spans="1:14" ht="11.25" customHeight="1">
      <c r="A59" s="110"/>
      <c r="B59" s="204" t="s">
        <v>62</v>
      </c>
      <c r="C59" s="204"/>
      <c r="D59" s="204"/>
      <c r="E59" s="204"/>
      <c r="F59" s="204"/>
      <c r="G59" s="204"/>
      <c r="H59" s="144">
        <f>SUM(H37,H46,H54,H57)*(1+Uhikhinnad!$E$161)</f>
        <v>0</v>
      </c>
      <c r="I59" s="99"/>
      <c r="N59" s="122"/>
    </row>
    <row r="60" spans="1:14" ht="11.25">
      <c r="A60" s="129"/>
      <c r="B60" s="205" t="s">
        <v>13</v>
      </c>
      <c r="C60" s="205"/>
      <c r="D60" s="205"/>
      <c r="E60" s="205"/>
      <c r="F60" s="205"/>
      <c r="G60" s="205"/>
      <c r="H60" s="145">
        <f>SUM(H58:H59)</f>
        <v>237486.49999999997</v>
      </c>
      <c r="I60" s="99"/>
      <c r="N60" s="122"/>
    </row>
    <row r="61" spans="1:9" ht="11.25" hidden="1">
      <c r="A61" s="129"/>
      <c r="B61" s="105" t="s">
        <v>133</v>
      </c>
      <c r="C61" s="126"/>
      <c r="D61" s="126"/>
      <c r="E61" s="126"/>
      <c r="F61" s="126"/>
      <c r="G61" s="126"/>
      <c r="H61" s="130"/>
      <c r="I61" s="126"/>
    </row>
    <row r="62" spans="1:9" ht="11.25" hidden="1">
      <c r="A62" s="129"/>
      <c r="B62" s="137" t="s">
        <v>88</v>
      </c>
      <c r="C62" s="126"/>
      <c r="D62" s="126"/>
      <c r="E62" s="126"/>
      <c r="F62" s="126"/>
      <c r="G62" s="126"/>
      <c r="H62" s="130"/>
      <c r="I62" s="126"/>
    </row>
    <row r="63" spans="2:9" ht="11.25" customHeight="1" hidden="1">
      <c r="B63" s="105" t="s">
        <v>131</v>
      </c>
      <c r="C63" s="126"/>
      <c r="D63" s="126"/>
      <c r="E63" s="126"/>
      <c r="F63" s="126"/>
      <c r="G63" s="126"/>
      <c r="H63" s="130"/>
      <c r="I63" s="126"/>
    </row>
    <row r="64" spans="2:9" ht="11.25" customHeight="1" hidden="1">
      <c r="B64" s="138" t="s">
        <v>281</v>
      </c>
      <c r="C64" s="126"/>
      <c r="D64" s="126"/>
      <c r="E64" s="126"/>
      <c r="F64" s="126"/>
      <c r="G64" s="126"/>
      <c r="H64" s="142">
        <v>0</v>
      </c>
      <c r="I64" s="126"/>
    </row>
    <row r="65" spans="2:9" ht="11.25" customHeight="1" hidden="1">
      <c r="B65" s="138" t="s">
        <v>98</v>
      </c>
      <c r="C65" s="126"/>
      <c r="D65" s="126"/>
      <c r="E65" s="126"/>
      <c r="F65" s="126"/>
      <c r="G65" s="126"/>
      <c r="H65" s="142">
        <v>0</v>
      </c>
      <c r="I65" s="126"/>
    </row>
    <row r="66" spans="2:8" ht="11.25" customHeight="1" hidden="1">
      <c r="B66" s="105" t="s">
        <v>132</v>
      </c>
      <c r="H66" s="141"/>
    </row>
    <row r="67" spans="2:8" ht="11.25" customHeight="1" hidden="1">
      <c r="B67" s="138" t="s">
        <v>99</v>
      </c>
      <c r="H67" s="142">
        <v>0</v>
      </c>
    </row>
    <row r="68" spans="2:8" ht="11.25" customHeight="1" hidden="1">
      <c r="B68" s="138" t="s">
        <v>100</v>
      </c>
      <c r="H68" s="142">
        <v>0</v>
      </c>
    </row>
    <row r="69" spans="1:9" ht="11.25" customHeight="1" hidden="1">
      <c r="A69" s="110"/>
      <c r="B69" s="204" t="s">
        <v>61</v>
      </c>
      <c r="C69" s="204"/>
      <c r="D69" s="204"/>
      <c r="E69" s="204"/>
      <c r="F69" s="204"/>
      <c r="G69" s="204"/>
      <c r="H69" s="144">
        <f>SUM(H64,H67)*(1+Uhikhinnad!$E$161)</f>
        <v>0</v>
      </c>
      <c r="I69" s="99"/>
    </row>
    <row r="70" spans="1:14" ht="11.25" customHeight="1" hidden="1">
      <c r="A70" s="110"/>
      <c r="B70" s="204" t="s">
        <v>62</v>
      </c>
      <c r="C70" s="204"/>
      <c r="D70" s="204"/>
      <c r="E70" s="204"/>
      <c r="F70" s="204"/>
      <c r="G70" s="204"/>
      <c r="H70" s="144">
        <f>SUM(H65,H68)*(1+Uhikhinnad!$E$161)</f>
        <v>0</v>
      </c>
      <c r="I70" s="99"/>
      <c r="N70" s="122"/>
    </row>
    <row r="71" spans="1:14" ht="11.25" hidden="1">
      <c r="A71" s="129"/>
      <c r="B71" s="205" t="s">
        <v>305</v>
      </c>
      <c r="C71" s="205"/>
      <c r="D71" s="205"/>
      <c r="E71" s="205"/>
      <c r="F71" s="205"/>
      <c r="G71" s="205"/>
      <c r="H71" s="145">
        <f>SUM(H69:H70)</f>
        <v>0</v>
      </c>
      <c r="I71" s="99"/>
      <c r="N71" s="122"/>
    </row>
    <row r="74" ht="11.25" customHeight="1" hidden="1"/>
    <row r="75" spans="7:8" ht="11.25" customHeight="1" hidden="1">
      <c r="G75" s="98" t="s">
        <v>353</v>
      </c>
      <c r="H75" s="97">
        <f>H28+H58</f>
        <v>641389.4999999999</v>
      </c>
    </row>
    <row r="76" spans="7:8" ht="11.25" customHeight="1" hidden="1">
      <c r="G76" s="98" t="s">
        <v>355</v>
      </c>
      <c r="H76" s="97">
        <f>H29+H59</f>
        <v>0</v>
      </c>
    </row>
    <row r="77" spans="7:8" ht="11.25" customHeight="1" hidden="1">
      <c r="G77" s="98" t="s">
        <v>68</v>
      </c>
      <c r="H77" s="97">
        <f>H75+H76</f>
        <v>641389.4999999999</v>
      </c>
    </row>
  </sheetData>
  <sheetProtection/>
  <mergeCells count="9">
    <mergeCell ref="B28:G28"/>
    <mergeCell ref="B70:G70"/>
    <mergeCell ref="B71:G71"/>
    <mergeCell ref="B29:G29"/>
    <mergeCell ref="B30:G30"/>
    <mergeCell ref="B58:G58"/>
    <mergeCell ref="B59:G59"/>
    <mergeCell ref="B60:G60"/>
    <mergeCell ref="B69:G6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zoomScale="85" zoomScaleNormal="85" zoomScalePageLayoutView="0" workbookViewId="0" topLeftCell="B1">
      <selection activeCell="C86" sqref="C86"/>
    </sheetView>
  </sheetViews>
  <sheetFormatPr defaultColWidth="9.140625" defaultRowHeight="11.25" customHeight="1"/>
  <cols>
    <col min="1" max="1" width="11.140625" style="42" hidden="1" customWidth="1"/>
    <col min="2" max="2" width="70.57421875" style="100" customWidth="1"/>
    <col min="3" max="3" width="40.28125" style="100" bestFit="1" customWidth="1"/>
    <col min="4" max="4" width="6.8515625" style="100" customWidth="1"/>
    <col min="5" max="5" width="7.57421875" style="100" customWidth="1"/>
    <col min="6" max="6" width="9.8515625" style="100" customWidth="1"/>
    <col min="7" max="7" width="11.8515625" style="100" hidden="1" customWidth="1"/>
    <col min="8" max="8" width="14.57421875" style="59" bestFit="1" customWidth="1"/>
    <col min="9" max="9" width="9.140625" style="100" customWidth="1"/>
    <col min="10" max="10" width="9.28125" style="100" bestFit="1" customWidth="1"/>
    <col min="11" max="11" width="10.8515625" style="100" bestFit="1" customWidth="1"/>
    <col min="12" max="13" width="9.140625" style="100" customWidth="1"/>
    <col min="14" max="14" width="10.8515625" style="100" bestFit="1" customWidth="1"/>
    <col min="15" max="16384" width="9.140625" style="100" customWidth="1"/>
  </cols>
  <sheetData>
    <row r="1" spans="2:9" ht="11.25">
      <c r="B1" s="104" t="s">
        <v>320</v>
      </c>
      <c r="C1" s="98"/>
      <c r="D1" s="98"/>
      <c r="E1" s="98"/>
      <c r="F1" s="98"/>
      <c r="G1" s="98"/>
      <c r="H1" s="57"/>
      <c r="I1" s="98"/>
    </row>
    <row r="2" spans="2:9" ht="11.25">
      <c r="B2" s="104" t="s">
        <v>53</v>
      </c>
      <c r="C2" s="98"/>
      <c r="D2" s="98"/>
      <c r="E2" s="98"/>
      <c r="F2" s="98"/>
      <c r="G2" s="98"/>
      <c r="H2" s="57"/>
      <c r="I2" s="98"/>
    </row>
    <row r="3" spans="1:9" ht="11.25">
      <c r="A3" s="7" t="s">
        <v>37</v>
      </c>
      <c r="B3" s="9" t="s">
        <v>0</v>
      </c>
      <c r="C3" s="10" t="s">
        <v>64</v>
      </c>
      <c r="D3" s="11" t="s">
        <v>23</v>
      </c>
      <c r="E3" s="11" t="s">
        <v>50</v>
      </c>
      <c r="F3" s="11" t="s">
        <v>4</v>
      </c>
      <c r="G3" s="11" t="s">
        <v>46</v>
      </c>
      <c r="H3" s="34" t="s">
        <v>35</v>
      </c>
      <c r="I3" s="99"/>
    </row>
    <row r="4" spans="1:13" ht="11.25">
      <c r="A4" s="7"/>
      <c r="B4" s="207" t="s">
        <v>41</v>
      </c>
      <c r="C4" s="207"/>
      <c r="D4" s="207"/>
      <c r="E4" s="207"/>
      <c r="F4" s="207"/>
      <c r="G4" s="207"/>
      <c r="H4" s="207"/>
      <c r="I4" s="99"/>
      <c r="J4" s="106"/>
      <c r="K4" s="106"/>
      <c r="L4" s="106"/>
      <c r="M4" s="106"/>
    </row>
    <row r="5" spans="1:13" ht="11.25">
      <c r="A5" s="7"/>
      <c r="B5" s="208" t="s">
        <v>72</v>
      </c>
      <c r="C5" s="208"/>
      <c r="D5" s="208"/>
      <c r="E5" s="208"/>
      <c r="F5" s="208"/>
      <c r="G5" s="208"/>
      <c r="H5" s="208"/>
      <c r="I5" s="99"/>
      <c r="J5" s="106"/>
      <c r="K5" s="106"/>
      <c r="L5" s="106"/>
      <c r="M5" s="106"/>
    </row>
    <row r="6" spans="1:13" ht="11.25" hidden="1">
      <c r="A6" s="7"/>
      <c r="B6" s="209" t="s">
        <v>87</v>
      </c>
      <c r="C6" s="209"/>
      <c r="D6" s="209"/>
      <c r="E6" s="209"/>
      <c r="F6" s="209"/>
      <c r="G6" s="209"/>
      <c r="H6" s="209"/>
      <c r="I6" s="99"/>
      <c r="J6" s="106"/>
      <c r="K6" s="106"/>
      <c r="L6" s="106"/>
      <c r="M6" s="106"/>
    </row>
    <row r="7" spans="1:13" ht="11.25" hidden="1">
      <c r="A7" s="7"/>
      <c r="B7" s="206" t="s">
        <v>89</v>
      </c>
      <c r="C7" s="206"/>
      <c r="D7" s="206"/>
      <c r="E7" s="206"/>
      <c r="F7" s="206"/>
      <c r="G7" s="206"/>
      <c r="H7" s="142">
        <f>SUM(H8:H9)</f>
        <v>0</v>
      </c>
      <c r="I7" s="99"/>
      <c r="K7" s="106"/>
      <c r="L7" s="106"/>
      <c r="M7" s="106"/>
    </row>
    <row r="8" spans="1:13" s="98" customFormat="1" ht="11.25" hidden="1">
      <c r="A8" s="110">
        <v>102</v>
      </c>
      <c r="B8" s="111" t="str">
        <f>VLOOKUP(A8,Uhikhinnad!$A$6:$F$156,2,FALSE)</f>
        <v>puuraugu tamponeerimine</v>
      </c>
      <c r="C8" s="111">
        <f>VLOOKUP(A8,Uhikhinnad!$A$6:$F$156,3,FALSE)</f>
        <v>0</v>
      </c>
      <c r="D8" s="112" t="str">
        <f>VLOOKUP(A8,Uhikhinnad!$A$6:$F$156,4,FALSE)</f>
        <v>kmpl</v>
      </c>
      <c r="E8" s="113"/>
      <c r="F8" s="112">
        <f>VLOOKUP(A8,Uhikhinnad!$A$6:$F$156,5,FALSE)</f>
        <v>3800</v>
      </c>
      <c r="G8" s="112">
        <f>VLOOKUP(A8,Uhikhinnad!$A$6:$F$156,6,FALSE)</f>
        <v>0</v>
      </c>
      <c r="H8" s="143">
        <f>E8*F8+G8</f>
        <v>0</v>
      </c>
      <c r="I8" s="99"/>
      <c r="K8" s="115"/>
      <c r="L8" s="115"/>
      <c r="M8" s="115"/>
    </row>
    <row r="9" spans="1:13" s="98" customFormat="1" ht="11.25" hidden="1">
      <c r="A9" s="110">
        <v>603</v>
      </c>
      <c r="B9" s="111" t="str">
        <f>VLOOKUP(A9,Uhikhinnad!$A$6:$F$156,2,FALSE)</f>
        <v>hoone lammutamine</v>
      </c>
      <c r="C9" s="111">
        <f>VLOOKUP(A9,Uhikhinnad!$A$6:$F$156,3,FALSE)</f>
        <v>0</v>
      </c>
      <c r="D9" s="112" t="str">
        <f>VLOOKUP(A9,Uhikhinnad!$A$6:$F$156,4,FALSE)</f>
        <v>m2</v>
      </c>
      <c r="E9" s="113"/>
      <c r="F9" s="112">
        <f>VLOOKUP(A9,Uhikhinnad!$A$6:$F$156,5,FALSE)</f>
        <v>300</v>
      </c>
      <c r="G9" s="112">
        <f>VLOOKUP(A9,Uhikhinnad!$A$6:$F$156,6,FALSE)</f>
        <v>0</v>
      </c>
      <c r="H9" s="143">
        <f>E9*F9+G9</f>
        <v>0</v>
      </c>
      <c r="I9" s="99"/>
      <c r="K9" s="115"/>
      <c r="L9" s="115"/>
      <c r="M9" s="115"/>
    </row>
    <row r="10" spans="1:13" ht="11.25" hidden="1">
      <c r="A10" s="7"/>
      <c r="B10" s="206" t="s">
        <v>90</v>
      </c>
      <c r="C10" s="206"/>
      <c r="D10" s="206"/>
      <c r="E10" s="206"/>
      <c r="F10" s="206"/>
      <c r="G10" s="206"/>
      <c r="H10" s="142">
        <v>0</v>
      </c>
      <c r="I10" s="99"/>
      <c r="L10" s="106"/>
      <c r="M10" s="106"/>
    </row>
    <row r="11" spans="1:13" ht="11.25" hidden="1">
      <c r="A11" s="7"/>
      <c r="B11" s="209" t="s">
        <v>271</v>
      </c>
      <c r="C11" s="209"/>
      <c r="D11" s="209"/>
      <c r="E11" s="209"/>
      <c r="F11" s="209"/>
      <c r="G11" s="209"/>
      <c r="H11" s="141"/>
      <c r="I11" s="133"/>
      <c r="J11" s="106"/>
      <c r="K11" s="106"/>
      <c r="L11" s="106"/>
      <c r="M11" s="106"/>
    </row>
    <row r="12" spans="1:13" ht="11.25" hidden="1">
      <c r="A12" s="7"/>
      <c r="B12" s="206" t="s">
        <v>91</v>
      </c>
      <c r="C12" s="206"/>
      <c r="D12" s="206"/>
      <c r="E12" s="206"/>
      <c r="F12" s="206"/>
      <c r="G12" s="206"/>
      <c r="H12" s="142">
        <v>0</v>
      </c>
      <c r="I12" s="99"/>
      <c r="K12" s="106"/>
      <c r="L12" s="106"/>
      <c r="M12" s="106"/>
    </row>
    <row r="13" spans="1:13" ht="11.25" hidden="1">
      <c r="A13" s="7"/>
      <c r="B13" s="206" t="s">
        <v>92</v>
      </c>
      <c r="C13" s="206"/>
      <c r="D13" s="206"/>
      <c r="E13" s="206"/>
      <c r="F13" s="206"/>
      <c r="G13" s="206"/>
      <c r="H13" s="142">
        <v>0</v>
      </c>
      <c r="I13" s="99"/>
      <c r="L13" s="106"/>
      <c r="M13" s="106"/>
    </row>
    <row r="14" spans="1:13" ht="11.25">
      <c r="A14" s="7"/>
      <c r="B14" s="208" t="s">
        <v>73</v>
      </c>
      <c r="C14" s="208"/>
      <c r="D14" s="208"/>
      <c r="E14" s="208"/>
      <c r="F14" s="208"/>
      <c r="G14" s="208"/>
      <c r="H14" s="208"/>
      <c r="I14" s="99"/>
      <c r="L14" s="106"/>
      <c r="M14" s="106"/>
    </row>
    <row r="15" spans="1:9" ht="11.25" hidden="1">
      <c r="A15" s="110"/>
      <c r="B15" s="209" t="s">
        <v>272</v>
      </c>
      <c r="C15" s="209"/>
      <c r="D15" s="209"/>
      <c r="E15" s="209"/>
      <c r="F15" s="209"/>
      <c r="G15" s="209"/>
      <c r="H15" s="209"/>
      <c r="I15" s="99"/>
    </row>
    <row r="16" spans="1:9" ht="11.25" hidden="1">
      <c r="A16" s="110"/>
      <c r="B16" s="206" t="s">
        <v>273</v>
      </c>
      <c r="C16" s="206"/>
      <c r="D16" s="206"/>
      <c r="E16" s="206"/>
      <c r="F16" s="206"/>
      <c r="G16" s="206"/>
      <c r="H16" s="142">
        <f>SUM(H17)</f>
        <v>0</v>
      </c>
      <c r="I16" s="99"/>
    </row>
    <row r="17" spans="1:9" ht="11.25" hidden="1">
      <c r="A17" s="110" t="s">
        <v>163</v>
      </c>
      <c r="B17" s="111" t="str">
        <f>VLOOKUP(A17,Uhikhinnad!$A$6:$F$156,2,FALSE)</f>
        <v>veetoru</v>
      </c>
      <c r="C17" s="111" t="str">
        <f>VLOOKUP(A17,Uhikhinnad!$A$6:$F$156,3,FALSE)</f>
        <v>De32-De110</v>
      </c>
      <c r="D17" s="112" t="str">
        <f>VLOOKUP(A17,Uhikhinnad!$A$6:$F$156,4,FALSE)</f>
        <v>m</v>
      </c>
      <c r="E17" s="113"/>
      <c r="F17" s="112">
        <f>VLOOKUP(A17,Uhikhinnad!$A$6:$F$156,5,FALSE)</f>
        <v>120</v>
      </c>
      <c r="G17" s="112">
        <f>VLOOKUP(A17,Uhikhinnad!$A$6:$F$156,6,FALSE)</f>
        <v>0</v>
      </c>
      <c r="H17" s="143">
        <f>E17*F17+G17</f>
        <v>0</v>
      </c>
      <c r="I17" s="99"/>
    </row>
    <row r="18" spans="1:9" ht="11.25" hidden="1">
      <c r="A18" s="110"/>
      <c r="B18" s="206" t="s">
        <v>275</v>
      </c>
      <c r="C18" s="206"/>
      <c r="D18" s="206"/>
      <c r="E18" s="206"/>
      <c r="F18" s="206"/>
      <c r="G18" s="206"/>
      <c r="H18" s="142">
        <f>H19</f>
        <v>0</v>
      </c>
      <c r="I18" s="99"/>
    </row>
    <row r="19" spans="1:9" s="98" customFormat="1" ht="11.25" hidden="1">
      <c r="A19" s="110" t="s">
        <v>163</v>
      </c>
      <c r="B19" s="111" t="str">
        <f>VLOOKUP(A19,Uhikhinnad!$A$6:$F$156,2,FALSE)</f>
        <v>veetoru</v>
      </c>
      <c r="C19" s="111" t="str">
        <f>VLOOKUP(A19,Uhikhinnad!$A$6:$F$156,3,FALSE)</f>
        <v>De32-De110</v>
      </c>
      <c r="D19" s="112" t="str">
        <f>VLOOKUP(A19,Uhikhinnad!$A$6:$F$156,4,FALSE)</f>
        <v>m</v>
      </c>
      <c r="E19" s="113"/>
      <c r="F19" s="112">
        <f>VLOOKUP(A19,Uhikhinnad!$A$6:$F$156,5,FALSE)</f>
        <v>120</v>
      </c>
      <c r="G19" s="112">
        <f>VLOOKUP(A19,Uhikhinnad!$A$6:$F$156,6,FALSE)</f>
        <v>0</v>
      </c>
      <c r="H19" s="143">
        <f>E19*F19+G19</f>
        <v>0</v>
      </c>
      <c r="I19" s="99"/>
    </row>
    <row r="20" spans="1:11" ht="11.25">
      <c r="A20" s="110"/>
      <c r="B20" s="209" t="s">
        <v>82</v>
      </c>
      <c r="C20" s="209"/>
      <c r="D20" s="209"/>
      <c r="E20" s="209"/>
      <c r="F20" s="209"/>
      <c r="G20" s="209"/>
      <c r="H20" s="209"/>
      <c r="I20" s="99"/>
      <c r="K20" s="122"/>
    </row>
    <row r="21" spans="1:9" ht="11.25">
      <c r="A21" s="110"/>
      <c r="B21" s="206" t="s">
        <v>274</v>
      </c>
      <c r="C21" s="206"/>
      <c r="D21" s="206"/>
      <c r="E21" s="206"/>
      <c r="F21" s="206"/>
      <c r="G21" s="206"/>
      <c r="H21" s="142">
        <f>SUM(H22:H22)</f>
        <v>18000</v>
      </c>
      <c r="I21" s="99"/>
    </row>
    <row r="22" spans="1:13" s="98" customFormat="1" ht="11.25">
      <c r="A22" s="110" t="s">
        <v>218</v>
      </c>
      <c r="B22" s="111" t="s">
        <v>360</v>
      </c>
      <c r="C22" s="111"/>
      <c r="D22" s="112" t="s">
        <v>59</v>
      </c>
      <c r="E22" s="113">
        <v>1</v>
      </c>
      <c r="F22" s="112">
        <v>18000</v>
      </c>
      <c r="G22" s="112">
        <f>VLOOKUP(A22,Uhikhinnad!$A$6:$F$156,6,FALSE)</f>
        <v>0</v>
      </c>
      <c r="H22" s="143">
        <f>E22*F22+G22</f>
        <v>18000</v>
      </c>
      <c r="I22" s="99"/>
      <c r="J22" s="115"/>
      <c r="K22" s="115"/>
      <c r="L22" s="115"/>
      <c r="M22" s="115"/>
    </row>
    <row r="23" spans="1:9" ht="11.25" hidden="1">
      <c r="A23" s="110"/>
      <c r="B23" s="206" t="s">
        <v>276</v>
      </c>
      <c r="C23" s="206"/>
      <c r="D23" s="206"/>
      <c r="E23" s="206"/>
      <c r="F23" s="206"/>
      <c r="G23" s="206"/>
      <c r="H23" s="142">
        <f>SUM(H24:H29)</f>
        <v>0</v>
      </c>
      <c r="I23" s="99"/>
    </row>
    <row r="24" spans="1:13" s="98" customFormat="1" ht="11.25" hidden="1">
      <c r="A24" s="110" t="s">
        <v>163</v>
      </c>
      <c r="B24" s="111" t="str">
        <f>VLOOKUP(A24,Uhikhinnad!$A$6:$F$156,2,FALSE)</f>
        <v>veetoru</v>
      </c>
      <c r="C24" s="111" t="str">
        <f>VLOOKUP(A24,Uhikhinnad!$A$6:$F$156,3,FALSE)</f>
        <v>De32-De110</v>
      </c>
      <c r="D24" s="112" t="str">
        <f>VLOOKUP(A24,Uhikhinnad!$A$6:$F$156,4,FALSE)</f>
        <v>m</v>
      </c>
      <c r="E24" s="113"/>
      <c r="F24" s="112">
        <f>VLOOKUP(A24,Uhikhinnad!$A$6:$F$156,5,FALSE)</f>
        <v>120</v>
      </c>
      <c r="G24" s="112">
        <f>VLOOKUP(A24,Uhikhinnad!$A$6:$F$156,6,FALSE)</f>
        <v>0</v>
      </c>
      <c r="H24" s="143">
        <f aca="true" t="shared" si="0" ref="H24:H29">E24*F24+G24</f>
        <v>0</v>
      </c>
      <c r="I24" s="99"/>
      <c r="K24" s="115"/>
      <c r="L24" s="115"/>
      <c r="M24" s="115"/>
    </row>
    <row r="25" spans="1:13" s="98" customFormat="1" ht="11.25" hidden="1">
      <c r="A25" s="110" t="s">
        <v>240</v>
      </c>
      <c r="B25" s="111" t="str">
        <f>VLOOKUP(A25,Uhikhinnad!$A$6:$F$156,2,FALSE)</f>
        <v>tuletõrjevee toru</v>
      </c>
      <c r="C25" s="111" t="str">
        <f>VLOOKUP(A25,Uhikhinnad!$A$6:$F$156,3,FALSE)</f>
        <v>DN100</v>
      </c>
      <c r="D25" s="112" t="str">
        <f>VLOOKUP(A25,Uhikhinnad!$A$6:$F$156,4,FALSE)</f>
        <v>m</v>
      </c>
      <c r="E25" s="113"/>
      <c r="F25" s="112">
        <f>VLOOKUP(A25,Uhikhinnad!$A$6:$F$156,5,FALSE)</f>
        <v>120</v>
      </c>
      <c r="G25" s="112">
        <f>VLOOKUP(A25,Uhikhinnad!$A$6:$F$156,6,FALSE)</f>
        <v>0</v>
      </c>
      <c r="H25" s="143">
        <f t="shared" si="0"/>
        <v>0</v>
      </c>
      <c r="I25" s="99"/>
      <c r="J25" s="100"/>
      <c r="K25" s="115"/>
      <c r="L25" s="115"/>
      <c r="M25" s="115"/>
    </row>
    <row r="26" spans="1:13" s="98" customFormat="1" ht="11.25" hidden="1">
      <c r="A26" s="110">
        <v>202</v>
      </c>
      <c r="B26" s="111" t="str">
        <f>VLOOKUP(A26,Uhikhinnad!$A$6:$F$156,2,FALSE)</f>
        <v>majaühendus</v>
      </c>
      <c r="C26" s="111" t="str">
        <f>VLOOKUP(A26,Uhikhinnad!$A$6:$F$156,3,FALSE)</f>
        <v>Toru, maakraan, otsakork</v>
      </c>
      <c r="D26" s="112" t="str">
        <f>VLOOKUP(A26,Uhikhinnad!$A$6:$F$156,4,FALSE)</f>
        <v>kmpl</v>
      </c>
      <c r="E26" s="113"/>
      <c r="F26" s="112">
        <f>VLOOKUP(A26,Uhikhinnad!$A$6:$F$156,5,FALSE)</f>
        <v>900</v>
      </c>
      <c r="G26" s="112">
        <f>VLOOKUP(A26,Uhikhinnad!$A$6:$F$156,6,FALSE)</f>
        <v>0</v>
      </c>
      <c r="H26" s="143">
        <f t="shared" si="0"/>
        <v>0</v>
      </c>
      <c r="I26" s="99"/>
      <c r="J26" s="100"/>
      <c r="K26" s="115"/>
      <c r="L26" s="115"/>
      <c r="M26" s="115"/>
    </row>
    <row r="27" spans="1:13" s="98" customFormat="1" ht="11.25" hidden="1">
      <c r="A27" s="110">
        <v>203</v>
      </c>
      <c r="B27" s="111" t="str">
        <f>VLOOKUP(A27,Uhikhinnad!$A$6:$F$156,2,FALSE)</f>
        <v>hüdrant</v>
      </c>
      <c r="C27" s="111" t="str">
        <f>VLOOKUP(A27,Uhikhinnad!$A$6:$F$156,3,FALSE)</f>
        <v>DN100 ühendus</v>
      </c>
      <c r="D27" s="112" t="str">
        <f>VLOOKUP(A27,Uhikhinnad!$A$6:$F$156,4,FALSE)</f>
        <v>tk</v>
      </c>
      <c r="E27" s="113"/>
      <c r="F27" s="112">
        <f>VLOOKUP(A27,Uhikhinnad!$A$6:$F$156,5,FALSE)</f>
        <v>1900</v>
      </c>
      <c r="G27" s="112">
        <f>VLOOKUP(A27,Uhikhinnad!$A$6:$F$156,6,FALSE)</f>
        <v>0</v>
      </c>
      <c r="H27" s="143">
        <f t="shared" si="0"/>
        <v>0</v>
      </c>
      <c r="I27" s="99"/>
      <c r="J27" s="100"/>
      <c r="K27" s="115"/>
      <c r="L27" s="115"/>
      <c r="M27" s="115"/>
    </row>
    <row r="28" spans="1:13" s="98" customFormat="1" ht="11.25" hidden="1">
      <c r="A28" s="110" t="s">
        <v>218</v>
      </c>
      <c r="B28" s="111" t="str">
        <f>VLOOKUP(A28,Uhikhinnad!$A$6:$F$156,2,FALSE)</f>
        <v>tuletõrjevee mahuti rajamine</v>
      </c>
      <c r="C28" s="111" t="str">
        <f>VLOOKUP(A28,Uhikhinnad!$A$6:$F$156,3,FALSE)</f>
        <v>betoon (50 - 200 m3)</v>
      </c>
      <c r="D28" s="112" t="str">
        <f>VLOOKUP(A28,Uhikhinnad!$A$6:$F$156,4,FALSE)</f>
        <v>m3</v>
      </c>
      <c r="E28" s="113"/>
      <c r="F28" s="112">
        <f>VLOOKUP(A28,Uhikhinnad!$A$6:$F$156,5,FALSE)</f>
        <v>570</v>
      </c>
      <c r="G28" s="112">
        <f>VLOOKUP(A28,Uhikhinnad!$A$6:$F$156,6,FALSE)</f>
        <v>0</v>
      </c>
      <c r="H28" s="143">
        <f t="shared" si="0"/>
        <v>0</v>
      </c>
      <c r="I28" s="99"/>
      <c r="K28" s="115"/>
      <c r="L28" s="115"/>
      <c r="M28" s="115"/>
    </row>
    <row r="29" spans="1:13" s="98" customFormat="1" ht="11.25" hidden="1">
      <c r="A29" s="110" t="s">
        <v>218</v>
      </c>
      <c r="B29" s="111" t="str">
        <f>VLOOKUP(A29,Uhikhinnad!$A$6:$F$156,2,FALSE)</f>
        <v>tuletõrjevee mahuti rajamine</v>
      </c>
      <c r="C29" s="111" t="str">
        <f>VLOOKUP(A29,Uhikhinnad!$A$6:$F$156,3,FALSE)</f>
        <v>betoon (50 - 200 m3)</v>
      </c>
      <c r="D29" s="112" t="str">
        <f>VLOOKUP(A29,Uhikhinnad!$A$6:$F$156,4,FALSE)</f>
        <v>m3</v>
      </c>
      <c r="E29" s="113"/>
      <c r="F29" s="112">
        <f>VLOOKUP(A29,Uhikhinnad!$A$6:$F$156,5,FALSE)</f>
        <v>570</v>
      </c>
      <c r="G29" s="112">
        <f>VLOOKUP(A29,Uhikhinnad!$A$6:$F$156,6,FALSE)</f>
        <v>0</v>
      </c>
      <c r="H29" s="143">
        <f t="shared" si="0"/>
        <v>0</v>
      </c>
      <c r="I29" s="99"/>
      <c r="K29" s="115"/>
      <c r="L29" s="115"/>
      <c r="M29" s="115"/>
    </row>
    <row r="30" spans="1:9" ht="11.25" customHeight="1">
      <c r="A30" s="110"/>
      <c r="B30" s="204" t="s">
        <v>61</v>
      </c>
      <c r="C30" s="204"/>
      <c r="D30" s="204"/>
      <c r="E30" s="204"/>
      <c r="F30" s="204"/>
      <c r="G30" s="204"/>
      <c r="H30" s="144">
        <f>SUM(H7,H12,H16,H21)*(1+Uhikhinnad!$E$161)</f>
        <v>20700</v>
      </c>
      <c r="I30" s="99"/>
    </row>
    <row r="31" spans="1:9" ht="11.25" customHeight="1">
      <c r="A31" s="110"/>
      <c r="B31" s="204" t="s">
        <v>62</v>
      </c>
      <c r="C31" s="204"/>
      <c r="D31" s="204"/>
      <c r="E31" s="204"/>
      <c r="F31" s="204"/>
      <c r="G31" s="204"/>
      <c r="H31" s="144">
        <f>SUM(H10,H13,H18,H23)*(1+Uhikhinnad!$E$161)</f>
        <v>0</v>
      </c>
      <c r="I31" s="99"/>
    </row>
    <row r="32" spans="1:9" ht="12.75" customHeight="1">
      <c r="A32" s="110"/>
      <c r="B32" s="205" t="s">
        <v>45</v>
      </c>
      <c r="C32" s="205"/>
      <c r="D32" s="205"/>
      <c r="E32" s="205"/>
      <c r="F32" s="205"/>
      <c r="G32" s="205"/>
      <c r="H32" s="145">
        <f>SUM(H30:H31)</f>
        <v>20700</v>
      </c>
      <c r="I32" s="99"/>
    </row>
    <row r="33" spans="1:9" ht="11.25">
      <c r="A33" s="124"/>
      <c r="B33" s="207" t="s">
        <v>32</v>
      </c>
      <c r="C33" s="207"/>
      <c r="D33" s="207"/>
      <c r="E33" s="207"/>
      <c r="F33" s="207"/>
      <c r="G33" s="207"/>
      <c r="H33" s="207"/>
      <c r="I33" s="99"/>
    </row>
    <row r="34" spans="1:9" ht="11.25">
      <c r="A34" s="124"/>
      <c r="B34" s="208" t="s">
        <v>74</v>
      </c>
      <c r="C34" s="208"/>
      <c r="D34" s="208"/>
      <c r="E34" s="208"/>
      <c r="F34" s="208"/>
      <c r="G34" s="208"/>
      <c r="H34" s="208"/>
      <c r="I34" s="99"/>
    </row>
    <row r="35" spans="1:9" ht="11.25">
      <c r="A35" s="110"/>
      <c r="B35" s="207" t="s">
        <v>270</v>
      </c>
      <c r="C35" s="207"/>
      <c r="D35" s="207"/>
      <c r="E35" s="207"/>
      <c r="F35" s="207"/>
      <c r="G35" s="207"/>
      <c r="H35" s="207"/>
      <c r="I35" s="99"/>
    </row>
    <row r="36" spans="1:9" ht="11.25">
      <c r="A36" s="110"/>
      <c r="B36" s="206" t="s">
        <v>279</v>
      </c>
      <c r="C36" s="206"/>
      <c r="D36" s="206"/>
      <c r="E36" s="206"/>
      <c r="F36" s="206"/>
      <c r="G36" s="206"/>
      <c r="H36" s="142">
        <f>SUM(H37:H38)</f>
        <v>86565</v>
      </c>
      <c r="I36" s="99"/>
    </row>
    <row r="37" spans="1:9" ht="11.25">
      <c r="A37" s="110">
        <v>301</v>
      </c>
      <c r="B37" s="111" t="str">
        <f>VLOOKUP(A37,Uhikhinnad!$A$6:$F$156,2,FALSE)</f>
        <v>isevoolne kan.toru </v>
      </c>
      <c r="C37" s="111"/>
      <c r="D37" s="112" t="str">
        <f>VLOOKUP(A37,Uhikhinnad!$A$6:$F$156,4,FALSE)</f>
        <v>m</v>
      </c>
      <c r="E37" s="113">
        <v>635</v>
      </c>
      <c r="F37" s="112">
        <v>135</v>
      </c>
      <c r="G37" s="112"/>
      <c r="H37" s="143">
        <f>E37*F37+G37</f>
        <v>85725</v>
      </c>
      <c r="I37" s="99"/>
    </row>
    <row r="38" spans="1:9" ht="11.25">
      <c r="A38" s="110">
        <v>304</v>
      </c>
      <c r="B38" s="111" t="str">
        <f>VLOOKUP(A38,Uhikhinnad!$A$6:$F$156,2,FALSE)</f>
        <v>majaühendus</v>
      </c>
      <c r="C38" s="111" t="str">
        <f>VLOOKUP(A38,Uhikhinnad!$A$6:$F$156,3,FALSE)</f>
        <v>Kontrollkaev De200, torustik ja otsakork</v>
      </c>
      <c r="D38" s="112" t="str">
        <f>VLOOKUP(A38,Uhikhinnad!$A$6:$F$156,4,FALSE)</f>
        <v>kmpl</v>
      </c>
      <c r="E38" s="113">
        <v>3</v>
      </c>
      <c r="F38" s="112">
        <v>280</v>
      </c>
      <c r="G38" s="112">
        <f>VLOOKUP(A38,Uhikhinnad!$A$6:$F$156,6,FALSE)</f>
        <v>0</v>
      </c>
      <c r="H38" s="143">
        <f>E38*F38+G38</f>
        <v>840</v>
      </c>
      <c r="I38" s="99"/>
    </row>
    <row r="39" spans="1:11" ht="11.25" hidden="1">
      <c r="A39" s="110"/>
      <c r="B39" s="206" t="s">
        <v>277</v>
      </c>
      <c r="C39" s="206"/>
      <c r="D39" s="206"/>
      <c r="E39" s="206"/>
      <c r="F39" s="206"/>
      <c r="G39" s="206"/>
      <c r="H39" s="142">
        <f>SUM(H40:H41)</f>
        <v>0</v>
      </c>
      <c r="I39" s="99"/>
      <c r="K39" s="106"/>
    </row>
    <row r="40" spans="1:11" ht="11.25" hidden="1">
      <c r="A40" s="110">
        <v>301</v>
      </c>
      <c r="B40" s="111" t="str">
        <f>VLOOKUP(A40,Uhikhinnad!$A$6:$F$156,2,FALSE)</f>
        <v>isevoolne kan.toru </v>
      </c>
      <c r="C40" s="111"/>
      <c r="D40" s="112" t="str">
        <f>VLOOKUP(A40,Uhikhinnad!$A$6:$F$156,4,FALSE)</f>
        <v>m</v>
      </c>
      <c r="E40" s="113"/>
      <c r="F40" s="112">
        <v>135</v>
      </c>
      <c r="G40" s="112"/>
      <c r="H40" s="143">
        <f>E40*F40+G40</f>
        <v>0</v>
      </c>
      <c r="I40" s="99"/>
      <c r="K40" s="106"/>
    </row>
    <row r="41" spans="1:11" ht="11.25" hidden="1">
      <c r="A41" s="110">
        <v>304</v>
      </c>
      <c r="B41" s="111" t="str">
        <f>VLOOKUP(A41,Uhikhinnad!$A$6:$F$156,2,FALSE)</f>
        <v>majaühendus</v>
      </c>
      <c r="C41" s="111" t="str">
        <f>VLOOKUP(A41,Uhikhinnad!$A$6:$F$156,3,FALSE)</f>
        <v>Kontrollkaev De200, torustik ja otsakork</v>
      </c>
      <c r="D41" s="112" t="str">
        <f>VLOOKUP(A41,Uhikhinnad!$A$6:$F$156,4,FALSE)</f>
        <v>kmpl</v>
      </c>
      <c r="E41" s="113"/>
      <c r="F41" s="112">
        <v>280</v>
      </c>
      <c r="G41" s="112">
        <f>VLOOKUP(A41,Uhikhinnad!$A$6:$F$156,6,FALSE)</f>
        <v>0</v>
      </c>
      <c r="H41" s="143">
        <f>E41*F41+G41</f>
        <v>0</v>
      </c>
      <c r="I41" s="99"/>
      <c r="K41" s="106"/>
    </row>
    <row r="42" spans="1:9" ht="11.25">
      <c r="A42" s="110"/>
      <c r="B42" s="207" t="s">
        <v>123</v>
      </c>
      <c r="C42" s="207"/>
      <c r="D42" s="207"/>
      <c r="E42" s="207"/>
      <c r="F42" s="207"/>
      <c r="G42" s="207"/>
      <c r="H42" s="144"/>
      <c r="I42" s="99"/>
    </row>
    <row r="43" spans="1:9" ht="11.25">
      <c r="A43" s="110"/>
      <c r="B43" s="206" t="s">
        <v>280</v>
      </c>
      <c r="C43" s="206"/>
      <c r="D43" s="206"/>
      <c r="E43" s="206"/>
      <c r="F43" s="206"/>
      <c r="G43" s="206"/>
      <c r="H43" s="142">
        <f>SUM(H44:H45)</f>
        <v>25700</v>
      </c>
      <c r="I43" s="99"/>
    </row>
    <row r="44" spans="1:9" ht="11.25">
      <c r="A44" s="110">
        <v>301</v>
      </c>
      <c r="B44" s="111" t="str">
        <f>VLOOKUP(A44,Uhikhinnad!$A$6:$F$156,2,FALSE)</f>
        <v>isevoolne kan.toru </v>
      </c>
      <c r="C44" s="111"/>
      <c r="D44" s="112" t="str">
        <f>VLOOKUP(A44,Uhikhinnad!$A$6:$F$156,4,FALSE)</f>
        <v>m</v>
      </c>
      <c r="E44" s="113">
        <v>180</v>
      </c>
      <c r="F44" s="112">
        <v>135</v>
      </c>
      <c r="G44" s="112"/>
      <c r="H44" s="143">
        <f>E44*F44+G44</f>
        <v>24300</v>
      </c>
      <c r="I44" s="99"/>
    </row>
    <row r="45" spans="1:9" ht="11.25">
      <c r="A45" s="110">
        <v>304</v>
      </c>
      <c r="B45" s="111" t="str">
        <f>VLOOKUP(A45,Uhikhinnad!$A$6:$F$156,2,FALSE)</f>
        <v>majaühendus</v>
      </c>
      <c r="C45" s="111" t="str">
        <f>VLOOKUP(A45,Uhikhinnad!$A$6:$F$156,3,FALSE)</f>
        <v>Kontrollkaev De200, torustik ja otsakork</v>
      </c>
      <c r="D45" s="112" t="str">
        <f>VLOOKUP(A45,Uhikhinnad!$A$6:$F$156,4,FALSE)</f>
        <v>kmpl</v>
      </c>
      <c r="E45" s="113">
        <v>5</v>
      </c>
      <c r="F45" s="112">
        <v>280</v>
      </c>
      <c r="G45" s="112">
        <f>VLOOKUP(A45,Uhikhinnad!$A$6:$F$156,6,FALSE)</f>
        <v>0</v>
      </c>
      <c r="H45" s="143">
        <f>E45*F45+G45</f>
        <v>1400</v>
      </c>
      <c r="I45" s="99"/>
    </row>
    <row r="46" spans="1:11" ht="11.25" hidden="1">
      <c r="A46" s="110"/>
      <c r="B46" s="206" t="s">
        <v>278</v>
      </c>
      <c r="C46" s="206"/>
      <c r="D46" s="206"/>
      <c r="E46" s="206"/>
      <c r="F46" s="206"/>
      <c r="G46" s="206"/>
      <c r="H46" s="142">
        <f>SUM(H47:H48)</f>
        <v>0</v>
      </c>
      <c r="I46" s="99"/>
      <c r="K46" s="106"/>
    </row>
    <row r="47" spans="1:9" ht="11.25" hidden="1">
      <c r="A47" s="110" t="s">
        <v>152</v>
      </c>
      <c r="B47" s="111" t="str">
        <f>VLOOKUP(A47,Uhikhinnad!$A$6:$F$156,2,FALSE)</f>
        <v>isevoolne kan.toru </v>
      </c>
      <c r="C47" s="111" t="str">
        <f>VLOOKUP(A47,Uhikhinnad!$A$6:$F$156,3,FALSE)</f>
        <v>De160-De315</v>
      </c>
      <c r="D47" s="112" t="str">
        <f>VLOOKUP(A47,Uhikhinnad!$A$6:$F$156,4,FALSE)</f>
        <v>m</v>
      </c>
      <c r="E47" s="113"/>
      <c r="F47" s="112">
        <f>VLOOKUP(A47,Uhikhinnad!$A$6:$F$156,5,FALSE)</f>
        <v>210</v>
      </c>
      <c r="G47" s="112">
        <f>VLOOKUP(A47,Uhikhinnad!$A$6:$F$156,6,FALSE)</f>
        <v>0</v>
      </c>
      <c r="H47" s="143">
        <f>E47*F47+G47</f>
        <v>0</v>
      </c>
      <c r="I47" s="99"/>
    </row>
    <row r="48" spans="1:9" ht="11.25" hidden="1">
      <c r="A48" s="110">
        <v>304</v>
      </c>
      <c r="B48" s="111" t="str">
        <f>VLOOKUP(A48,Uhikhinnad!$A$6:$F$156,2,FALSE)</f>
        <v>majaühendus</v>
      </c>
      <c r="C48" s="111" t="str">
        <f>VLOOKUP(A48,Uhikhinnad!$A$6:$F$156,3,FALSE)</f>
        <v>Kontrollkaev De200, torustik ja otsakork</v>
      </c>
      <c r="D48" s="112" t="str">
        <f>VLOOKUP(A48,Uhikhinnad!$A$6:$F$156,4,FALSE)</f>
        <v>kmpl</v>
      </c>
      <c r="E48" s="113"/>
      <c r="F48" s="112">
        <f>VLOOKUP(A48,Uhikhinnad!$A$6:$F$156,5,FALSE)</f>
        <v>900</v>
      </c>
      <c r="G48" s="112">
        <f>VLOOKUP(A48,Uhikhinnad!$A$6:$F$156,6,FALSE)</f>
        <v>0</v>
      </c>
      <c r="H48" s="143">
        <f>E48*F48+G48</f>
        <v>0</v>
      </c>
      <c r="I48" s="99"/>
    </row>
    <row r="49" spans="1:9" ht="11.25">
      <c r="A49" s="124"/>
      <c r="B49" s="208" t="s">
        <v>75</v>
      </c>
      <c r="C49" s="208"/>
      <c r="D49" s="208"/>
      <c r="E49" s="208"/>
      <c r="F49" s="208"/>
      <c r="G49" s="208"/>
      <c r="H49" s="208"/>
      <c r="I49" s="99"/>
    </row>
    <row r="50" spans="1:9" ht="11.25">
      <c r="A50" s="110"/>
      <c r="B50" s="207" t="s">
        <v>287</v>
      </c>
      <c r="C50" s="207"/>
      <c r="D50" s="207"/>
      <c r="E50" s="207"/>
      <c r="F50" s="207"/>
      <c r="G50" s="207"/>
      <c r="H50" s="207"/>
      <c r="I50" s="99"/>
    </row>
    <row r="51" spans="1:9" ht="11.25">
      <c r="A51" s="110"/>
      <c r="B51" s="206" t="s">
        <v>93</v>
      </c>
      <c r="C51" s="206"/>
      <c r="D51" s="206"/>
      <c r="E51" s="206"/>
      <c r="F51" s="206"/>
      <c r="G51" s="206"/>
      <c r="H51" s="142">
        <f>SUM(H52:H55)</f>
        <v>91800</v>
      </c>
      <c r="I51" s="99"/>
    </row>
    <row r="52" spans="1:9" ht="11.25">
      <c r="A52" s="110">
        <v>404</v>
      </c>
      <c r="B52" s="111" t="str">
        <f>VLOOKUP(A52,Uhikhinnad!$A$6:$F$156,2,FALSE)</f>
        <v>biotiigi rekonstrueerimine</v>
      </c>
      <c r="C52" s="111"/>
      <c r="D52" s="112" t="str">
        <f>VLOOKUP(A52,Uhikhinnad!$A$6:$F$156,4,FALSE)</f>
        <v>m2</v>
      </c>
      <c r="E52" s="113">
        <v>3940</v>
      </c>
      <c r="F52" s="112">
        <f>VLOOKUP(A52,Uhikhinnad!$A$6:$F$156,5,FALSE)</f>
        <v>15</v>
      </c>
      <c r="G52" s="112">
        <f>VLOOKUP(A52,Uhikhinnad!$A$6:$F$156,6,FALSE)</f>
        <v>0</v>
      </c>
      <c r="H52" s="143">
        <f>E52*F52+G52</f>
        <v>59100</v>
      </c>
      <c r="I52" s="99"/>
    </row>
    <row r="53" spans="1:9" ht="11.25">
      <c r="A53" s="110"/>
      <c r="B53" s="140" t="s">
        <v>329</v>
      </c>
      <c r="C53" s="128"/>
      <c r="D53" s="112" t="s">
        <v>59</v>
      </c>
      <c r="E53" s="113">
        <v>1</v>
      </c>
      <c r="F53" s="112">
        <v>9000</v>
      </c>
      <c r="G53" s="112">
        <v>0</v>
      </c>
      <c r="H53" s="143">
        <f>E53*F53+G53</f>
        <v>9000</v>
      </c>
      <c r="I53" s="99"/>
    </row>
    <row r="54" spans="1:9" ht="11.25">
      <c r="A54" s="110"/>
      <c r="B54" s="140" t="s">
        <v>330</v>
      </c>
      <c r="C54" s="128"/>
      <c r="D54" s="112" t="s">
        <v>36</v>
      </c>
      <c r="E54" s="113">
        <v>350</v>
      </c>
      <c r="F54" s="112">
        <v>30</v>
      </c>
      <c r="G54" s="112">
        <v>0</v>
      </c>
      <c r="H54" s="143">
        <f>E54*F54+G54</f>
        <v>10500</v>
      </c>
      <c r="I54" s="99"/>
    </row>
    <row r="55" spans="1:9" ht="11.25">
      <c r="A55" s="110"/>
      <c r="B55" s="140" t="s">
        <v>331</v>
      </c>
      <c r="C55" s="128"/>
      <c r="D55" s="112" t="s">
        <v>25</v>
      </c>
      <c r="E55" s="113">
        <v>660</v>
      </c>
      <c r="F55" s="112">
        <v>20</v>
      </c>
      <c r="G55" s="112">
        <v>0</v>
      </c>
      <c r="H55" s="143">
        <f>E55*F55+G55</f>
        <v>13200</v>
      </c>
      <c r="I55" s="99"/>
    </row>
    <row r="56" spans="1:11" ht="11.25" hidden="1">
      <c r="A56" s="110"/>
      <c r="B56" s="206" t="s">
        <v>94</v>
      </c>
      <c r="C56" s="206"/>
      <c r="D56" s="206"/>
      <c r="E56" s="206"/>
      <c r="F56" s="206"/>
      <c r="G56" s="206"/>
      <c r="H56" s="142">
        <f>SUM(H57:H58)</f>
        <v>0</v>
      </c>
      <c r="I56" s="99"/>
      <c r="K56" s="106"/>
    </row>
    <row r="57" spans="1:11" ht="11.25" hidden="1">
      <c r="A57" s="110"/>
      <c r="B57" s="109"/>
      <c r="C57" s="128"/>
      <c r="D57" s="112"/>
      <c r="E57" s="139"/>
      <c r="F57" s="126"/>
      <c r="G57" s="126"/>
      <c r="H57" s="147"/>
      <c r="I57" s="99"/>
      <c r="K57" s="106"/>
    </row>
    <row r="58" spans="1:11" ht="11.25" hidden="1">
      <c r="A58" s="110"/>
      <c r="B58" s="109"/>
      <c r="C58" s="128"/>
      <c r="D58" s="112"/>
      <c r="E58" s="139"/>
      <c r="F58" s="126"/>
      <c r="G58" s="126"/>
      <c r="H58" s="147"/>
      <c r="I58" s="99"/>
      <c r="K58" s="106"/>
    </row>
    <row r="59" spans="1:9" ht="11.25" hidden="1">
      <c r="A59" s="110"/>
      <c r="B59" s="207" t="s">
        <v>288</v>
      </c>
      <c r="C59" s="207"/>
      <c r="D59" s="207"/>
      <c r="E59" s="207"/>
      <c r="F59" s="207"/>
      <c r="G59" s="207"/>
      <c r="H59" s="207"/>
      <c r="I59" s="99"/>
    </row>
    <row r="60" spans="1:9" ht="11.25" hidden="1">
      <c r="A60" s="110"/>
      <c r="B60" s="206" t="s">
        <v>95</v>
      </c>
      <c r="C60" s="206"/>
      <c r="D60" s="206"/>
      <c r="E60" s="206"/>
      <c r="F60" s="206"/>
      <c r="G60" s="206"/>
      <c r="H60" s="142">
        <f>SUM(H61:H62)</f>
        <v>0</v>
      </c>
      <c r="I60" s="99"/>
    </row>
    <row r="61" spans="1:9" ht="11.25" hidden="1">
      <c r="A61" s="110"/>
      <c r="B61" s="109"/>
      <c r="C61" s="128"/>
      <c r="D61" s="112"/>
      <c r="E61" s="139"/>
      <c r="F61" s="126"/>
      <c r="G61" s="126"/>
      <c r="H61" s="147"/>
      <c r="I61" s="99"/>
    </row>
    <row r="62" spans="1:9" ht="11.25" hidden="1">
      <c r="A62" s="110"/>
      <c r="B62" s="109"/>
      <c r="C62" s="128"/>
      <c r="D62" s="112"/>
      <c r="E62" s="139"/>
      <c r="F62" s="126"/>
      <c r="G62" s="126"/>
      <c r="H62" s="147"/>
      <c r="I62" s="99"/>
    </row>
    <row r="63" spans="1:9" ht="11.25" hidden="1">
      <c r="A63" s="110"/>
      <c r="B63" s="109"/>
      <c r="C63" s="128"/>
      <c r="D63" s="112"/>
      <c r="E63" s="139"/>
      <c r="F63" s="126"/>
      <c r="G63" s="126"/>
      <c r="H63" s="147"/>
      <c r="I63" s="99"/>
    </row>
    <row r="64" spans="1:11" ht="11.25" hidden="1">
      <c r="A64" s="110"/>
      <c r="B64" s="206" t="s">
        <v>96</v>
      </c>
      <c r="C64" s="206"/>
      <c r="D64" s="206"/>
      <c r="E64" s="206"/>
      <c r="F64" s="206"/>
      <c r="G64" s="206"/>
      <c r="H64" s="142">
        <f>SUM(H65:H66)</f>
        <v>0</v>
      </c>
      <c r="I64" s="99"/>
      <c r="K64" s="106"/>
    </row>
    <row r="65" spans="1:11" ht="11.25" hidden="1">
      <c r="A65" s="110"/>
      <c r="B65" s="138"/>
      <c r="C65" s="128"/>
      <c r="D65" s="112"/>
      <c r="E65" s="139"/>
      <c r="F65" s="126"/>
      <c r="G65" s="126"/>
      <c r="H65" s="147"/>
      <c r="I65" s="99"/>
      <c r="K65" s="106"/>
    </row>
    <row r="66" spans="1:11" ht="11.25" hidden="1">
      <c r="A66" s="110"/>
      <c r="B66" s="138"/>
      <c r="C66" s="128"/>
      <c r="D66" s="112"/>
      <c r="E66" s="139"/>
      <c r="F66" s="126"/>
      <c r="G66" s="126"/>
      <c r="H66" s="147"/>
      <c r="I66" s="99"/>
      <c r="K66" s="106"/>
    </row>
    <row r="67" spans="1:9" ht="11.25" customHeight="1">
      <c r="A67" s="110"/>
      <c r="B67" s="204" t="s">
        <v>61</v>
      </c>
      <c r="C67" s="204"/>
      <c r="D67" s="204"/>
      <c r="E67" s="204"/>
      <c r="F67" s="204"/>
      <c r="G67" s="204"/>
      <c r="H67" s="144">
        <f>SUM(H36,H43,H51,H60)*(1+Uhikhinnad!$E$161)</f>
        <v>234674.74999999997</v>
      </c>
      <c r="I67" s="99"/>
    </row>
    <row r="68" spans="1:14" ht="11.25" customHeight="1">
      <c r="A68" s="110"/>
      <c r="B68" s="204" t="s">
        <v>62</v>
      </c>
      <c r="C68" s="204"/>
      <c r="D68" s="204"/>
      <c r="E68" s="204"/>
      <c r="F68" s="204"/>
      <c r="G68" s="204"/>
      <c r="H68" s="144">
        <f>SUM(H39,H46,H56,H64)*(1+Uhikhinnad!$E$161)</f>
        <v>0</v>
      </c>
      <c r="I68" s="99"/>
      <c r="N68" s="122"/>
    </row>
    <row r="69" spans="1:14" ht="12.75" customHeight="1">
      <c r="A69" s="129"/>
      <c r="B69" s="205" t="s">
        <v>13</v>
      </c>
      <c r="C69" s="205"/>
      <c r="D69" s="205"/>
      <c r="E69" s="205"/>
      <c r="F69" s="205"/>
      <c r="G69" s="205"/>
      <c r="H69" s="145">
        <f>SUM(H67:H68)</f>
        <v>234674.74999999997</v>
      </c>
      <c r="I69" s="99"/>
      <c r="N69" s="122"/>
    </row>
    <row r="70" spans="1:9" ht="11.25" hidden="1">
      <c r="A70" s="129"/>
      <c r="B70" s="207" t="s">
        <v>133</v>
      </c>
      <c r="C70" s="207"/>
      <c r="D70" s="207"/>
      <c r="E70" s="207"/>
      <c r="F70" s="207"/>
      <c r="G70" s="207"/>
      <c r="H70" s="207"/>
      <c r="I70" s="126"/>
    </row>
    <row r="71" spans="1:9" ht="11.25" hidden="1">
      <c r="A71" s="129"/>
      <c r="B71" s="208" t="s">
        <v>88</v>
      </c>
      <c r="C71" s="208"/>
      <c r="D71" s="208"/>
      <c r="E71" s="208"/>
      <c r="F71" s="208"/>
      <c r="G71" s="208"/>
      <c r="H71" s="208"/>
      <c r="I71" s="126"/>
    </row>
    <row r="72" spans="2:9" ht="11.25" customHeight="1" hidden="1">
      <c r="B72" s="207" t="s">
        <v>131</v>
      </c>
      <c r="C72" s="207"/>
      <c r="D72" s="207"/>
      <c r="E72" s="207"/>
      <c r="F72" s="207"/>
      <c r="G72" s="207"/>
      <c r="H72" s="207"/>
      <c r="I72" s="126"/>
    </row>
    <row r="73" spans="2:9" ht="11.25" customHeight="1" hidden="1">
      <c r="B73" s="206" t="s">
        <v>281</v>
      </c>
      <c r="C73" s="206"/>
      <c r="D73" s="206"/>
      <c r="E73" s="206"/>
      <c r="F73" s="206"/>
      <c r="G73" s="206"/>
      <c r="H73" s="142">
        <v>0</v>
      </c>
      <c r="I73" s="126"/>
    </row>
    <row r="74" spans="2:9" ht="11.25" customHeight="1" hidden="1">
      <c r="B74" s="206" t="s">
        <v>98</v>
      </c>
      <c r="C74" s="206"/>
      <c r="D74" s="206"/>
      <c r="E74" s="206"/>
      <c r="F74" s="206"/>
      <c r="G74" s="206"/>
      <c r="H74" s="142">
        <v>0</v>
      </c>
      <c r="I74" s="126"/>
    </row>
    <row r="75" spans="2:8" ht="11.25" customHeight="1" hidden="1">
      <c r="B75" s="207" t="s">
        <v>132</v>
      </c>
      <c r="C75" s="207"/>
      <c r="D75" s="207"/>
      <c r="E75" s="207"/>
      <c r="F75" s="207"/>
      <c r="G75" s="207"/>
      <c r="H75" s="207"/>
    </row>
    <row r="76" spans="2:8" ht="11.25" customHeight="1" hidden="1">
      <c r="B76" s="206" t="s">
        <v>99</v>
      </c>
      <c r="C76" s="206"/>
      <c r="D76" s="206"/>
      <c r="E76" s="206"/>
      <c r="F76" s="206"/>
      <c r="G76" s="206"/>
      <c r="H76" s="142">
        <v>0</v>
      </c>
    </row>
    <row r="77" spans="2:8" ht="11.25" customHeight="1" hidden="1">
      <c r="B77" s="206" t="s">
        <v>100</v>
      </c>
      <c r="C77" s="206"/>
      <c r="D77" s="206"/>
      <c r="E77" s="206"/>
      <c r="F77" s="206"/>
      <c r="G77" s="206"/>
      <c r="H77" s="142">
        <v>0</v>
      </c>
    </row>
    <row r="78" spans="1:9" ht="11.25" customHeight="1" hidden="1">
      <c r="A78" s="110"/>
      <c r="B78" s="204" t="s">
        <v>61</v>
      </c>
      <c r="C78" s="204"/>
      <c r="D78" s="204"/>
      <c r="E78" s="204"/>
      <c r="F78" s="204"/>
      <c r="G78" s="204"/>
      <c r="H78" s="144">
        <f>SUM(H73,H76)*(1+Uhikhinnad!$E$161)</f>
        <v>0</v>
      </c>
      <c r="I78" s="99"/>
    </row>
    <row r="79" spans="1:14" ht="11.25" customHeight="1" hidden="1">
      <c r="A79" s="110"/>
      <c r="B79" s="204" t="s">
        <v>62</v>
      </c>
      <c r="C79" s="204"/>
      <c r="D79" s="204"/>
      <c r="E79" s="204"/>
      <c r="F79" s="204"/>
      <c r="G79" s="204"/>
      <c r="H79" s="144">
        <f>SUM(H74,H77)*(1+Uhikhinnad!$E$161)</f>
        <v>0</v>
      </c>
      <c r="I79" s="99"/>
      <c r="N79" s="122"/>
    </row>
    <row r="80" spans="1:14" ht="12.75" customHeight="1" hidden="1">
      <c r="A80" s="129"/>
      <c r="B80" s="205" t="s">
        <v>305</v>
      </c>
      <c r="C80" s="205"/>
      <c r="D80" s="205"/>
      <c r="E80" s="205"/>
      <c r="F80" s="205"/>
      <c r="G80" s="205"/>
      <c r="H80" s="145">
        <f>SUM(H78:H79)</f>
        <v>0</v>
      </c>
      <c r="I80" s="99"/>
      <c r="N80" s="122"/>
    </row>
  </sheetData>
  <sheetProtection/>
  <mergeCells count="47">
    <mergeCell ref="B79:G79"/>
    <mergeCell ref="B80:G80"/>
    <mergeCell ref="B50:H50"/>
    <mergeCell ref="B51:G51"/>
    <mergeCell ref="B56:G56"/>
    <mergeCell ref="B59:H59"/>
    <mergeCell ref="B67:G67"/>
    <mergeCell ref="B68:G68"/>
    <mergeCell ref="B75:H75"/>
    <mergeCell ref="B76:G76"/>
    <mergeCell ref="B31:G31"/>
    <mergeCell ref="B32:G32"/>
    <mergeCell ref="B18:G18"/>
    <mergeCell ref="B20:H20"/>
    <mergeCell ref="B78:G78"/>
    <mergeCell ref="B30:G30"/>
    <mergeCell ref="B23:G23"/>
    <mergeCell ref="B46:G46"/>
    <mergeCell ref="B49:H49"/>
    <mergeCell ref="B4:H4"/>
    <mergeCell ref="B5:H5"/>
    <mergeCell ref="B6:H6"/>
    <mergeCell ref="B7:G7"/>
    <mergeCell ref="B10:G10"/>
    <mergeCell ref="B11:G11"/>
    <mergeCell ref="B12:G12"/>
    <mergeCell ref="B13:G13"/>
    <mergeCell ref="B14:H14"/>
    <mergeCell ref="B15:H15"/>
    <mergeCell ref="B16:G16"/>
    <mergeCell ref="B21:G21"/>
    <mergeCell ref="B35:H35"/>
    <mergeCell ref="B36:G36"/>
    <mergeCell ref="B39:G39"/>
    <mergeCell ref="B43:G43"/>
    <mergeCell ref="B33:H33"/>
    <mergeCell ref="B42:G42"/>
    <mergeCell ref="B34:H34"/>
    <mergeCell ref="B60:G60"/>
    <mergeCell ref="B64:G64"/>
    <mergeCell ref="B70:H70"/>
    <mergeCell ref="B69:G69"/>
    <mergeCell ref="B77:G77"/>
    <mergeCell ref="B71:H71"/>
    <mergeCell ref="B72:H72"/>
    <mergeCell ref="B73:G73"/>
    <mergeCell ref="B74:G74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zoomScale="85" zoomScaleNormal="85" zoomScalePageLayoutView="0" workbookViewId="0" topLeftCell="B1">
      <selection activeCell="N80" sqref="N80"/>
    </sheetView>
  </sheetViews>
  <sheetFormatPr defaultColWidth="9.140625" defaultRowHeight="11.25" customHeight="1"/>
  <cols>
    <col min="1" max="1" width="8.00390625" style="42" hidden="1" customWidth="1"/>
    <col min="2" max="2" width="47.28125" style="100" customWidth="1"/>
    <col min="3" max="3" width="31.140625" style="100" customWidth="1"/>
    <col min="4" max="4" width="6.8515625" style="100" customWidth="1"/>
    <col min="5" max="5" width="7.57421875" style="100" customWidth="1"/>
    <col min="6" max="6" width="9.8515625" style="100" customWidth="1"/>
    <col min="7" max="7" width="11.8515625" style="100" hidden="1" customWidth="1"/>
    <col min="8" max="8" width="14.57421875" style="59" bestFit="1" customWidth="1"/>
    <col min="9" max="9" width="9.140625" style="100" customWidth="1"/>
    <col min="10" max="10" width="9.28125" style="100" bestFit="1" customWidth="1"/>
    <col min="11" max="13" width="9.140625" style="100" customWidth="1"/>
    <col min="14" max="14" width="10.8515625" style="100" bestFit="1" customWidth="1"/>
    <col min="15" max="16384" width="9.140625" style="100" customWidth="1"/>
  </cols>
  <sheetData>
    <row r="1" spans="2:9" ht="11.25">
      <c r="B1" s="104" t="s">
        <v>321</v>
      </c>
      <c r="C1" s="98"/>
      <c r="D1" s="98"/>
      <c r="E1" s="98"/>
      <c r="F1" s="98"/>
      <c r="G1" s="98"/>
      <c r="H1" s="57"/>
      <c r="I1" s="98"/>
    </row>
    <row r="2" spans="2:9" ht="11.25">
      <c r="B2" s="104" t="s">
        <v>53</v>
      </c>
      <c r="C2" s="98"/>
      <c r="D2" s="98"/>
      <c r="E2" s="98"/>
      <c r="F2" s="98"/>
      <c r="G2" s="98"/>
      <c r="H2" s="57"/>
      <c r="I2" s="98"/>
    </row>
    <row r="3" spans="1:9" ht="11.25">
      <c r="A3" s="46"/>
      <c r="B3" s="135"/>
      <c r="C3" s="135"/>
      <c r="D3" s="135"/>
      <c r="E3" s="135"/>
      <c r="F3" s="135"/>
      <c r="G3" s="135"/>
      <c r="H3" s="136"/>
      <c r="I3" s="99"/>
    </row>
    <row r="4" spans="1:9" ht="11.25">
      <c r="A4" s="7" t="s">
        <v>37</v>
      </c>
      <c r="B4" s="9" t="s">
        <v>0</v>
      </c>
      <c r="C4" s="10" t="s">
        <v>64</v>
      </c>
      <c r="D4" s="11" t="s">
        <v>23</v>
      </c>
      <c r="E4" s="11" t="s">
        <v>50</v>
      </c>
      <c r="F4" s="11" t="s">
        <v>4</v>
      </c>
      <c r="G4" s="11" t="s">
        <v>46</v>
      </c>
      <c r="H4" s="34" t="s">
        <v>35</v>
      </c>
      <c r="I4" s="99"/>
    </row>
    <row r="5" spans="1:13" ht="11.25">
      <c r="A5" s="7"/>
      <c r="B5" s="105" t="s">
        <v>41</v>
      </c>
      <c r="I5" s="99"/>
      <c r="J5" s="106"/>
      <c r="K5" s="106"/>
      <c r="L5" s="106"/>
      <c r="M5" s="106"/>
    </row>
    <row r="6" spans="1:13" ht="11.25" hidden="1">
      <c r="A6" s="7"/>
      <c r="B6" s="137" t="s">
        <v>72</v>
      </c>
      <c r="I6" s="99"/>
      <c r="J6" s="106"/>
      <c r="K6" s="106"/>
      <c r="L6" s="106"/>
      <c r="M6" s="106"/>
    </row>
    <row r="7" spans="1:13" ht="11.25" hidden="1">
      <c r="A7" s="7"/>
      <c r="B7" s="108" t="s">
        <v>87</v>
      </c>
      <c r="I7" s="99"/>
      <c r="J7" s="106"/>
      <c r="K7" s="106"/>
      <c r="L7" s="106"/>
      <c r="M7" s="106"/>
    </row>
    <row r="8" spans="1:13" ht="11.25" hidden="1">
      <c r="A8" s="7"/>
      <c r="B8" s="138" t="s">
        <v>89</v>
      </c>
      <c r="H8" s="142">
        <f>H9</f>
        <v>0</v>
      </c>
      <c r="I8" s="99"/>
      <c r="K8" s="106"/>
      <c r="L8" s="106"/>
      <c r="M8" s="106"/>
    </row>
    <row r="9" spans="1:13" ht="11.25" hidden="1">
      <c r="A9" s="110">
        <v>1007</v>
      </c>
      <c r="B9" s="111" t="str">
        <f>VLOOKUP(A9,Uhikhinnad!$A$6:$F$156,2,FALSE)</f>
        <v>terviseriski uuring</v>
      </c>
      <c r="C9" s="111">
        <f>VLOOKUP(A9,Uhikhinnad!$A$6:$F$156,3,FALSE)</f>
        <v>0</v>
      </c>
      <c r="D9" s="112" t="str">
        <f>VLOOKUP(A9,Uhikhinnad!$A$6:$F$156,4,FALSE)</f>
        <v>tk</v>
      </c>
      <c r="E9" s="113"/>
      <c r="F9" s="112"/>
      <c r="G9" s="112">
        <f>VLOOKUP(A9,Uhikhinnad!$A$6:$F$156,6,FALSE)</f>
        <v>0</v>
      </c>
      <c r="H9" s="143">
        <f>E9*F9+G9</f>
        <v>0</v>
      </c>
      <c r="I9" s="99"/>
      <c r="K9" s="106"/>
      <c r="L9" s="106"/>
      <c r="M9" s="106"/>
    </row>
    <row r="10" spans="1:13" ht="11.25" hidden="1">
      <c r="A10" s="7"/>
      <c r="B10" s="138" t="s">
        <v>90</v>
      </c>
      <c r="H10" s="142">
        <v>0</v>
      </c>
      <c r="I10" s="99"/>
      <c r="L10" s="106"/>
      <c r="M10" s="106"/>
    </row>
    <row r="11" spans="1:13" ht="11.25" hidden="1">
      <c r="A11" s="7"/>
      <c r="B11" s="108" t="s">
        <v>271</v>
      </c>
      <c r="H11" s="141"/>
      <c r="I11" s="133"/>
      <c r="J11" s="106"/>
      <c r="K11" s="106"/>
      <c r="L11" s="106"/>
      <c r="M11" s="106"/>
    </row>
    <row r="12" spans="1:13" ht="11.25" hidden="1">
      <c r="A12" s="7"/>
      <c r="B12" s="138" t="s">
        <v>91</v>
      </c>
      <c r="H12" s="142">
        <v>0</v>
      </c>
      <c r="I12" s="99"/>
      <c r="K12" s="106"/>
      <c r="L12" s="106"/>
      <c r="M12" s="106"/>
    </row>
    <row r="13" spans="1:13" ht="11.25" hidden="1">
      <c r="A13" s="7"/>
      <c r="B13" s="138" t="s">
        <v>92</v>
      </c>
      <c r="H13" s="142">
        <v>0</v>
      </c>
      <c r="I13" s="99"/>
      <c r="L13" s="106"/>
      <c r="M13" s="106"/>
    </row>
    <row r="14" spans="1:13" ht="11.25">
      <c r="A14" s="7"/>
      <c r="B14" s="137" t="s">
        <v>73</v>
      </c>
      <c r="H14" s="141"/>
      <c r="I14" s="99"/>
      <c r="L14" s="106"/>
      <c r="M14" s="106"/>
    </row>
    <row r="15" spans="1:9" ht="11.25">
      <c r="A15" s="110"/>
      <c r="B15" s="108" t="s">
        <v>272</v>
      </c>
      <c r="C15" s="116"/>
      <c r="D15" s="117"/>
      <c r="E15" s="118"/>
      <c r="F15" s="117"/>
      <c r="G15" s="117"/>
      <c r="H15" s="144"/>
      <c r="I15" s="99"/>
    </row>
    <row r="16" spans="1:9" ht="11.25">
      <c r="A16" s="110"/>
      <c r="B16" s="138" t="s">
        <v>273</v>
      </c>
      <c r="C16" s="116"/>
      <c r="D16" s="117"/>
      <c r="E16" s="118"/>
      <c r="F16" s="117"/>
      <c r="G16" s="117"/>
      <c r="H16" s="142">
        <f>SUM(H17:H18)</f>
        <v>61420</v>
      </c>
      <c r="I16" s="99"/>
    </row>
    <row r="17" spans="1:9" ht="11.25">
      <c r="A17" s="110" t="s">
        <v>163</v>
      </c>
      <c r="B17" s="111" t="str">
        <f>VLOOKUP(A17,Uhikhinnad!$A$6:$F$156,2,FALSE)</f>
        <v>veetoru</v>
      </c>
      <c r="C17" s="111" t="str">
        <f>VLOOKUP(A17,Uhikhinnad!$A$6:$F$156,3,FALSE)</f>
        <v>De32-De110</v>
      </c>
      <c r="D17" s="112" t="str">
        <f>VLOOKUP(A17,Uhikhinnad!$A$6:$F$156,4,FALSE)</f>
        <v>m</v>
      </c>
      <c r="E17" s="113">
        <v>670</v>
      </c>
      <c r="F17" s="112">
        <v>90</v>
      </c>
      <c r="G17" s="112">
        <f>VLOOKUP(A17,Uhikhinnad!$A$6:$F$156,6,FALSE)</f>
        <v>0</v>
      </c>
      <c r="H17" s="143">
        <f>E17*F17+G17</f>
        <v>60300</v>
      </c>
      <c r="I17" s="99"/>
    </row>
    <row r="18" spans="1:9" ht="11.25">
      <c r="A18" s="110">
        <v>202</v>
      </c>
      <c r="B18" s="111" t="str">
        <f>VLOOKUP(A18,Uhikhinnad!$A$6:$F$156,2,FALSE)</f>
        <v>majaühendus</v>
      </c>
      <c r="C18" s="111" t="str">
        <f>VLOOKUP(A18,Uhikhinnad!$A$6:$F$156,3,FALSE)</f>
        <v>Toru, maakraan, otsakork</v>
      </c>
      <c r="D18" s="112" t="str">
        <f>VLOOKUP(A18,Uhikhinnad!$A$6:$F$156,4,FALSE)</f>
        <v>kmpl</v>
      </c>
      <c r="E18" s="113">
        <v>4</v>
      </c>
      <c r="F18" s="112">
        <v>280</v>
      </c>
      <c r="G18" s="112">
        <f>VLOOKUP(A18,Uhikhinnad!$A$6:$F$156,6,FALSE)</f>
        <v>0</v>
      </c>
      <c r="H18" s="143">
        <f>E18*F18+G18</f>
        <v>1120</v>
      </c>
      <c r="I18" s="99"/>
    </row>
    <row r="19" spans="1:9" ht="11.25" hidden="1">
      <c r="A19" s="110"/>
      <c r="B19" s="138" t="s">
        <v>275</v>
      </c>
      <c r="C19" s="120"/>
      <c r="D19" s="99"/>
      <c r="E19" s="99"/>
      <c r="F19" s="99"/>
      <c r="G19" s="99"/>
      <c r="H19" s="142">
        <f>SUM(H20:H20)</f>
        <v>0</v>
      </c>
      <c r="I19" s="99"/>
    </row>
    <row r="20" spans="1:13" s="98" customFormat="1" ht="11.25" hidden="1">
      <c r="A20" s="110" t="s">
        <v>163</v>
      </c>
      <c r="B20" s="111" t="str">
        <f>VLOOKUP(A20,Uhikhinnad!$A$6:$F$156,2,FALSE)</f>
        <v>veetoru</v>
      </c>
      <c r="C20" s="111" t="str">
        <f>VLOOKUP(A20,Uhikhinnad!$A$6:$F$156,3,FALSE)</f>
        <v>De32-De110</v>
      </c>
      <c r="D20" s="112" t="str">
        <f>VLOOKUP(A20,Uhikhinnad!$A$6:$F$156,4,FALSE)</f>
        <v>m</v>
      </c>
      <c r="E20" s="113"/>
      <c r="F20" s="112"/>
      <c r="G20" s="112">
        <f>VLOOKUP(A20,Uhikhinnad!$A$6:$F$156,6,FALSE)</f>
        <v>0</v>
      </c>
      <c r="H20" s="143">
        <f>E20*F20+G20</f>
        <v>0</v>
      </c>
      <c r="I20" s="99"/>
      <c r="J20" s="100"/>
      <c r="K20" s="115"/>
      <c r="L20" s="115"/>
      <c r="M20" s="115"/>
    </row>
    <row r="21" spans="1:9" ht="11.25">
      <c r="A21" s="110"/>
      <c r="B21" s="108" t="s">
        <v>82</v>
      </c>
      <c r="C21" s="116"/>
      <c r="D21" s="117"/>
      <c r="E21" s="118"/>
      <c r="F21" s="117"/>
      <c r="G21" s="117"/>
      <c r="H21" s="144"/>
      <c r="I21" s="99"/>
    </row>
    <row r="22" spans="1:9" ht="11.25">
      <c r="A22" s="110"/>
      <c r="B22" s="138" t="s">
        <v>274</v>
      </c>
      <c r="C22" s="116"/>
      <c r="D22" s="117"/>
      <c r="E22" s="118"/>
      <c r="F22" s="117"/>
      <c r="G22" s="117"/>
      <c r="H22" s="142">
        <f>SUM(H23:H23)</f>
        <v>2250</v>
      </c>
      <c r="I22" s="99"/>
    </row>
    <row r="23" spans="1:13" s="98" customFormat="1" ht="11.25">
      <c r="A23" s="110" t="s">
        <v>163</v>
      </c>
      <c r="B23" s="111" t="str">
        <f>VLOOKUP(A23,Uhikhinnad!$A$6:$F$156,2,FALSE)</f>
        <v>veetoru</v>
      </c>
      <c r="C23" s="111" t="str">
        <f>VLOOKUP(A23,Uhikhinnad!$A$6:$F$156,3,FALSE)</f>
        <v>De32-De110</v>
      </c>
      <c r="D23" s="112" t="str">
        <f>VLOOKUP(A23,Uhikhinnad!$A$6:$F$156,4,FALSE)</f>
        <v>m</v>
      </c>
      <c r="E23" s="113">
        <v>25</v>
      </c>
      <c r="F23" s="112">
        <v>90</v>
      </c>
      <c r="G23" s="112">
        <f>VLOOKUP(A23,Uhikhinnad!$A$6:$F$156,6,FALSE)</f>
        <v>0</v>
      </c>
      <c r="H23" s="143">
        <f>E23*F23+G23</f>
        <v>2250</v>
      </c>
      <c r="I23" s="99"/>
      <c r="K23" s="115"/>
      <c r="L23" s="115"/>
      <c r="M23" s="115"/>
    </row>
    <row r="24" spans="1:13" s="98" customFormat="1" ht="11.25">
      <c r="A24" s="110">
        <v>202</v>
      </c>
      <c r="B24" s="111" t="str">
        <f>VLOOKUP(A24,Uhikhinnad!$A$6:$F$156,2,FALSE)</f>
        <v>majaühendus</v>
      </c>
      <c r="C24" s="111" t="str">
        <f>VLOOKUP(A24,Uhikhinnad!$A$6:$F$156,3,FALSE)</f>
        <v>Toru, maakraan, otsakork</v>
      </c>
      <c r="D24" s="112" t="str">
        <f>VLOOKUP(A24,Uhikhinnad!$A$6:$F$156,4,FALSE)</f>
        <v>kmpl</v>
      </c>
      <c r="E24" s="113">
        <v>2</v>
      </c>
      <c r="F24" s="112">
        <v>280</v>
      </c>
      <c r="G24" s="112">
        <f>VLOOKUP(A24,Uhikhinnad!$A$6:$F$156,6,FALSE)</f>
        <v>0</v>
      </c>
      <c r="H24" s="143">
        <f>E24*F24+G24</f>
        <v>560</v>
      </c>
      <c r="I24" s="99"/>
      <c r="K24" s="115"/>
      <c r="L24" s="115"/>
      <c r="M24" s="115"/>
    </row>
    <row r="25" spans="1:9" ht="11.25" hidden="1">
      <c r="A25" s="110"/>
      <c r="B25" s="138" t="s">
        <v>276</v>
      </c>
      <c r="C25" s="120"/>
      <c r="D25" s="99"/>
      <c r="E25" s="99"/>
      <c r="F25" s="99"/>
      <c r="G25" s="99"/>
      <c r="H25" s="142">
        <f>SUM(H26:H29)</f>
        <v>0</v>
      </c>
      <c r="I25" s="99"/>
    </row>
    <row r="26" spans="1:13" s="98" customFormat="1" ht="11.25" hidden="1">
      <c r="A26" s="110" t="s">
        <v>163</v>
      </c>
      <c r="B26" s="111" t="str">
        <f>VLOOKUP(A26,Uhikhinnad!$A$6:$F$156,2,FALSE)</f>
        <v>veetoru</v>
      </c>
      <c r="C26" s="111" t="str">
        <f>VLOOKUP(A26,Uhikhinnad!$A$6:$F$156,3,FALSE)</f>
        <v>De32-De110</v>
      </c>
      <c r="D26" s="112" t="str">
        <f>VLOOKUP(A26,Uhikhinnad!$A$6:$F$156,4,FALSE)</f>
        <v>m</v>
      </c>
      <c r="E26" s="113"/>
      <c r="F26" s="112"/>
      <c r="G26" s="112">
        <f>VLOOKUP(A26,Uhikhinnad!$A$6:$F$156,6,FALSE)</f>
        <v>0</v>
      </c>
      <c r="H26" s="143">
        <f>E26*F26+G26</f>
        <v>0</v>
      </c>
      <c r="I26" s="99"/>
      <c r="J26" s="100"/>
      <c r="K26" s="115"/>
      <c r="L26" s="115"/>
      <c r="M26" s="115"/>
    </row>
    <row r="27" spans="1:13" s="98" customFormat="1" ht="11.25" hidden="1">
      <c r="A27" s="110" t="s">
        <v>240</v>
      </c>
      <c r="B27" s="111" t="str">
        <f>VLOOKUP(A27,Uhikhinnad!$A$6:$F$156,2,FALSE)</f>
        <v>tuletõrjevee toru</v>
      </c>
      <c r="C27" s="111" t="str">
        <f>VLOOKUP(A27,Uhikhinnad!$A$6:$F$156,3,FALSE)</f>
        <v>DN100</v>
      </c>
      <c r="D27" s="112" t="str">
        <f>VLOOKUP(A27,Uhikhinnad!$A$6:$F$156,4,FALSE)</f>
        <v>m</v>
      </c>
      <c r="E27" s="113"/>
      <c r="F27" s="112"/>
      <c r="G27" s="112">
        <f>VLOOKUP(A27,Uhikhinnad!$A$6:$F$156,6,FALSE)</f>
        <v>0</v>
      </c>
      <c r="H27" s="143">
        <f>E27*F27+G27</f>
        <v>0</v>
      </c>
      <c r="I27" s="99"/>
      <c r="J27" s="100"/>
      <c r="K27" s="115"/>
      <c r="L27" s="115"/>
      <c r="M27" s="115"/>
    </row>
    <row r="28" spans="1:13" s="98" customFormat="1" ht="11.25" hidden="1">
      <c r="A28" s="110">
        <v>202</v>
      </c>
      <c r="B28" s="111" t="str">
        <f>VLOOKUP(A28,Uhikhinnad!$A$6:$F$156,2,FALSE)</f>
        <v>majaühendus</v>
      </c>
      <c r="C28" s="111" t="str">
        <f>VLOOKUP(A28,Uhikhinnad!$A$6:$F$156,3,FALSE)</f>
        <v>Toru, maakraan, otsakork</v>
      </c>
      <c r="D28" s="112" t="str">
        <f>VLOOKUP(A28,Uhikhinnad!$A$6:$F$156,4,FALSE)</f>
        <v>kmpl</v>
      </c>
      <c r="E28" s="113"/>
      <c r="F28" s="112"/>
      <c r="G28" s="112">
        <f>VLOOKUP(A28,Uhikhinnad!$A$6:$F$156,6,FALSE)</f>
        <v>0</v>
      </c>
      <c r="H28" s="143">
        <f>E28*F28+G28</f>
        <v>0</v>
      </c>
      <c r="I28" s="99"/>
      <c r="J28" s="100"/>
      <c r="K28" s="115"/>
      <c r="L28" s="115"/>
      <c r="M28" s="115"/>
    </row>
    <row r="29" spans="1:13" s="98" customFormat="1" ht="11.25" hidden="1">
      <c r="A29" s="110">
        <v>203</v>
      </c>
      <c r="B29" s="111" t="str">
        <f>VLOOKUP(A29,Uhikhinnad!$A$6:$F$156,2,FALSE)</f>
        <v>hüdrant</v>
      </c>
      <c r="C29" s="111" t="str">
        <f>VLOOKUP(A29,Uhikhinnad!$A$6:$F$156,3,FALSE)</f>
        <v>DN100 ühendus</v>
      </c>
      <c r="D29" s="112" t="str">
        <f>VLOOKUP(A29,Uhikhinnad!$A$6:$F$156,4,FALSE)</f>
        <v>tk</v>
      </c>
      <c r="E29" s="113"/>
      <c r="F29" s="112"/>
      <c r="G29" s="112">
        <f>VLOOKUP(A29,Uhikhinnad!$A$6:$F$156,6,FALSE)</f>
        <v>0</v>
      </c>
      <c r="H29" s="143">
        <f>E29*F29+G29</f>
        <v>0</v>
      </c>
      <c r="I29" s="99"/>
      <c r="J29" s="100"/>
      <c r="K29" s="115"/>
      <c r="L29" s="115"/>
      <c r="M29" s="115"/>
    </row>
    <row r="30" spans="1:9" ht="11.25" customHeight="1">
      <c r="A30" s="110"/>
      <c r="B30" s="204" t="s">
        <v>61</v>
      </c>
      <c r="C30" s="204"/>
      <c r="D30" s="204"/>
      <c r="E30" s="204"/>
      <c r="F30" s="204"/>
      <c r="G30" s="204"/>
      <c r="H30" s="144">
        <f>SUM(H8,H12,H16,H22)*(1+Uhikhinnad!$E$161)</f>
        <v>73220.5</v>
      </c>
      <c r="I30" s="99"/>
    </row>
    <row r="31" spans="1:9" ht="11.25" customHeight="1">
      <c r="A31" s="110"/>
      <c r="B31" s="204" t="s">
        <v>62</v>
      </c>
      <c r="C31" s="204"/>
      <c r="D31" s="204"/>
      <c r="E31" s="204"/>
      <c r="F31" s="204"/>
      <c r="G31" s="204"/>
      <c r="H31" s="144">
        <f>SUM(H10,H13,H19,H25)*(1+Uhikhinnad!$E$161)</f>
        <v>0</v>
      </c>
      <c r="I31" s="99"/>
    </row>
    <row r="32" spans="1:9" ht="11.25">
      <c r="A32" s="110"/>
      <c r="B32" s="205" t="s">
        <v>45</v>
      </c>
      <c r="C32" s="205"/>
      <c r="D32" s="205"/>
      <c r="E32" s="205"/>
      <c r="F32" s="205"/>
      <c r="G32" s="205"/>
      <c r="H32" s="145">
        <f>SUM(H30:H31)</f>
        <v>73220.5</v>
      </c>
      <c r="I32" s="99"/>
    </row>
    <row r="33" spans="1:9" ht="11.25">
      <c r="A33" s="124"/>
      <c r="B33" s="105" t="s">
        <v>32</v>
      </c>
      <c r="C33" s="116"/>
      <c r="D33" s="117"/>
      <c r="E33" s="118"/>
      <c r="F33" s="117"/>
      <c r="G33" s="117"/>
      <c r="H33" s="125"/>
      <c r="I33" s="99"/>
    </row>
    <row r="34" spans="1:9" ht="11.25">
      <c r="A34" s="124"/>
      <c r="B34" s="137" t="s">
        <v>74</v>
      </c>
      <c r="C34" s="116"/>
      <c r="D34" s="117"/>
      <c r="E34" s="118"/>
      <c r="F34" s="117"/>
      <c r="G34" s="117"/>
      <c r="H34" s="125"/>
      <c r="I34" s="99"/>
    </row>
    <row r="35" spans="1:9" ht="11.25" hidden="1">
      <c r="A35" s="110"/>
      <c r="B35" s="105" t="s">
        <v>270</v>
      </c>
      <c r="C35" s="126"/>
      <c r="D35" s="112"/>
      <c r="E35" s="139"/>
      <c r="F35" s="126"/>
      <c r="G35" s="126"/>
      <c r="H35" s="119"/>
      <c r="I35" s="99"/>
    </row>
    <row r="36" spans="1:9" ht="11.25" hidden="1">
      <c r="A36" s="110"/>
      <c r="B36" s="138" t="s">
        <v>279</v>
      </c>
      <c r="C36" s="128"/>
      <c r="D36" s="112"/>
      <c r="E36" s="139"/>
      <c r="F36" s="126"/>
      <c r="G36" s="126"/>
      <c r="H36" s="142">
        <v>0</v>
      </c>
      <c r="I36" s="99"/>
    </row>
    <row r="37" spans="1:11" ht="11.25" hidden="1">
      <c r="A37" s="110"/>
      <c r="B37" s="138" t="s">
        <v>277</v>
      </c>
      <c r="C37" s="128"/>
      <c r="D37" s="112"/>
      <c r="E37" s="139"/>
      <c r="F37" s="126"/>
      <c r="G37" s="126"/>
      <c r="H37" s="142">
        <v>0</v>
      </c>
      <c r="I37" s="99"/>
      <c r="K37" s="106"/>
    </row>
    <row r="38" spans="1:9" ht="11.25">
      <c r="A38" s="110"/>
      <c r="B38" s="105" t="s">
        <v>123</v>
      </c>
      <c r="C38" s="126"/>
      <c r="D38" s="112"/>
      <c r="E38" s="139"/>
      <c r="F38" s="126"/>
      <c r="G38" s="126"/>
      <c r="H38" s="144"/>
      <c r="I38" s="99"/>
    </row>
    <row r="39" spans="1:9" ht="11.25">
      <c r="A39" s="110"/>
      <c r="B39" s="138" t="s">
        <v>280</v>
      </c>
      <c r="C39" s="128"/>
      <c r="D39" s="112"/>
      <c r="E39" s="139"/>
      <c r="F39" s="126"/>
      <c r="G39" s="126"/>
      <c r="H39" s="142">
        <f>SUM(H40:H43)</f>
        <v>105995</v>
      </c>
      <c r="I39" s="99"/>
    </row>
    <row r="40" spans="1:9" ht="11.25">
      <c r="A40" s="110" t="s">
        <v>152</v>
      </c>
      <c r="B40" s="111" t="str">
        <f>VLOOKUP(A40,Uhikhinnad!$A$6:$F$156,2,FALSE)</f>
        <v>isevoolne kan.toru </v>
      </c>
      <c r="C40" s="111" t="str">
        <f>VLOOKUP(A40,Uhikhinnad!$A$6:$F$156,3,FALSE)</f>
        <v>De160-De315</v>
      </c>
      <c r="D40" s="112" t="str">
        <f>VLOOKUP(A40,Uhikhinnad!$A$6:$F$156,4,FALSE)</f>
        <v>m</v>
      </c>
      <c r="E40" s="113">
        <v>165</v>
      </c>
      <c r="F40" s="112">
        <v>135</v>
      </c>
      <c r="G40" s="112">
        <f>VLOOKUP(A40,Uhikhinnad!$A$6:$F$156,6,FALSE)</f>
        <v>0</v>
      </c>
      <c r="H40" s="143">
        <f>E40*F40+G40</f>
        <v>22275</v>
      </c>
      <c r="I40" s="99"/>
    </row>
    <row r="41" spans="1:9" ht="11.25">
      <c r="A41" s="110" t="s">
        <v>160</v>
      </c>
      <c r="B41" s="111" t="str">
        <f>VLOOKUP(A41,Uhikhinnad!$A$6:$F$156,2,FALSE)</f>
        <v>väike reoveepumpla </v>
      </c>
      <c r="C41" s="111" t="str">
        <f>VLOOKUP(A41,Uhikhinnad!$A$6:$F$156,3,FALSE)</f>
        <v>Qarv ≤ 5 l/s</v>
      </c>
      <c r="D41" s="112" t="str">
        <f>VLOOKUP(A41,Uhikhinnad!$A$6:$F$156,4,FALSE)</f>
        <v>kmpl</v>
      </c>
      <c r="E41" s="113">
        <v>1</v>
      </c>
      <c r="F41" s="112">
        <v>29000</v>
      </c>
      <c r="G41" s="112">
        <f>VLOOKUP(A41,Uhikhinnad!$A$6:$F$156,6,FALSE)</f>
        <v>0</v>
      </c>
      <c r="H41" s="143">
        <f>E41*F41+G41</f>
        <v>29000</v>
      </c>
      <c r="I41" s="99"/>
    </row>
    <row r="42" spans="1:9" ht="11.25">
      <c r="A42" s="110">
        <v>302</v>
      </c>
      <c r="B42" s="111" t="str">
        <f>VLOOKUP(A42,Uhikhinnad!$A$6:$F$156,2,FALSE)</f>
        <v>survekanalisatsioonitoru</v>
      </c>
      <c r="C42" s="111">
        <f>VLOOKUP(A42,Uhikhinnad!$A$6:$F$156,3,FALSE)</f>
        <v>0</v>
      </c>
      <c r="D42" s="112" t="str">
        <f>VLOOKUP(A42,Uhikhinnad!$A$6:$F$156,4,FALSE)</f>
        <v>m</v>
      </c>
      <c r="E42" s="113">
        <v>670</v>
      </c>
      <c r="F42" s="112">
        <v>80</v>
      </c>
      <c r="G42" s="112">
        <f>VLOOKUP(A42,Uhikhinnad!$A$6:$F$156,6,FALSE)</f>
        <v>0</v>
      </c>
      <c r="H42" s="143">
        <f>E42*F42+G42</f>
        <v>53600</v>
      </c>
      <c r="I42" s="99"/>
    </row>
    <row r="43" spans="1:9" ht="11.25">
      <c r="A43" s="110">
        <v>304</v>
      </c>
      <c r="B43" s="111" t="str">
        <f>VLOOKUP(A43,Uhikhinnad!$A$6:$F$156,2,FALSE)</f>
        <v>majaühendus</v>
      </c>
      <c r="C43" s="111" t="str">
        <f>VLOOKUP(A43,Uhikhinnad!$A$6:$F$156,3,FALSE)</f>
        <v>Kontrollkaev De200, torustik ja otsakork</v>
      </c>
      <c r="D43" s="112" t="str">
        <f>VLOOKUP(A43,Uhikhinnad!$A$6:$F$156,4,FALSE)</f>
        <v>kmpl</v>
      </c>
      <c r="E43" s="113">
        <v>4</v>
      </c>
      <c r="F43" s="112">
        <v>280</v>
      </c>
      <c r="G43" s="112">
        <f>VLOOKUP(A43,Uhikhinnad!$A$6:$F$156,6,FALSE)</f>
        <v>0</v>
      </c>
      <c r="H43" s="143">
        <f>E43*F43+G43</f>
        <v>1120</v>
      </c>
      <c r="I43" s="99"/>
    </row>
    <row r="44" spans="1:9" ht="11.25">
      <c r="A44" s="110"/>
      <c r="B44" s="138"/>
      <c r="C44" s="128"/>
      <c r="D44" s="112"/>
      <c r="E44" s="139"/>
      <c r="F44" s="126"/>
      <c r="G44" s="126"/>
      <c r="H44" s="147"/>
      <c r="I44" s="99"/>
    </row>
    <row r="45" spans="1:11" ht="11.25" hidden="1">
      <c r="A45" s="110"/>
      <c r="B45" s="138" t="s">
        <v>278</v>
      </c>
      <c r="C45" s="128"/>
      <c r="D45" s="112"/>
      <c r="E45" s="139"/>
      <c r="F45" s="126"/>
      <c r="G45" s="126"/>
      <c r="H45" s="142">
        <f>SUM(H46:H47)</f>
        <v>0</v>
      </c>
      <c r="I45" s="99"/>
      <c r="K45" s="106"/>
    </row>
    <row r="46" spans="1:9" ht="11.25" hidden="1">
      <c r="A46" s="110" t="s">
        <v>152</v>
      </c>
      <c r="B46" s="111" t="str">
        <f>VLOOKUP(A46,Uhikhinnad!$A$6:$F$156,2,FALSE)</f>
        <v>isevoolne kan.toru </v>
      </c>
      <c r="C46" s="111" t="str">
        <f>VLOOKUP(A46,Uhikhinnad!$A$6:$F$156,3,FALSE)</f>
        <v>De160-De315</v>
      </c>
      <c r="D46" s="112" t="str">
        <f>VLOOKUP(A46,Uhikhinnad!$A$6:$F$156,4,FALSE)</f>
        <v>m</v>
      </c>
      <c r="E46" s="113"/>
      <c r="F46" s="112"/>
      <c r="G46" s="112">
        <f>VLOOKUP(A46,Uhikhinnad!$A$6:$F$156,6,FALSE)</f>
        <v>0</v>
      </c>
      <c r="H46" s="143">
        <f>E46*F46+G46</f>
        <v>0</v>
      </c>
      <c r="I46" s="99"/>
    </row>
    <row r="47" spans="1:9" ht="11.25" hidden="1">
      <c r="A47" s="110">
        <v>304</v>
      </c>
      <c r="B47" s="111" t="str">
        <f>VLOOKUP(A47,Uhikhinnad!$A$6:$F$156,2,FALSE)</f>
        <v>majaühendus</v>
      </c>
      <c r="C47" s="111" t="str">
        <f>VLOOKUP(A47,Uhikhinnad!$A$6:$F$156,3,FALSE)</f>
        <v>Kontrollkaev De200, torustik ja otsakork</v>
      </c>
      <c r="D47" s="112" t="str">
        <f>VLOOKUP(A47,Uhikhinnad!$A$6:$F$156,4,FALSE)</f>
        <v>kmpl</v>
      </c>
      <c r="E47" s="113"/>
      <c r="F47" s="112"/>
      <c r="G47" s="112">
        <f>VLOOKUP(A47,Uhikhinnad!$A$6:$F$156,6,FALSE)</f>
        <v>0</v>
      </c>
      <c r="H47" s="143">
        <f>E47*F47+G47</f>
        <v>0</v>
      </c>
      <c r="I47" s="99"/>
    </row>
    <row r="48" spans="1:9" ht="11.25" hidden="1">
      <c r="A48" s="124"/>
      <c r="B48" s="137" t="s">
        <v>75</v>
      </c>
      <c r="C48" s="116"/>
      <c r="D48" s="117"/>
      <c r="E48" s="118"/>
      <c r="F48" s="117"/>
      <c r="G48" s="117"/>
      <c r="H48" s="146"/>
      <c r="I48" s="99"/>
    </row>
    <row r="49" spans="1:9" ht="11.25" hidden="1">
      <c r="A49" s="110"/>
      <c r="B49" s="105" t="s">
        <v>287</v>
      </c>
      <c r="C49" s="126"/>
      <c r="D49" s="112"/>
      <c r="E49" s="139"/>
      <c r="F49" s="126"/>
      <c r="G49" s="126"/>
      <c r="H49" s="144"/>
      <c r="I49" s="99"/>
    </row>
    <row r="50" spans="1:9" ht="11.25" hidden="1">
      <c r="A50" s="110"/>
      <c r="B50" s="138" t="s">
        <v>93</v>
      </c>
      <c r="C50" s="128"/>
      <c r="D50" s="112"/>
      <c r="E50" s="139"/>
      <c r="F50" s="126"/>
      <c r="G50" s="126"/>
      <c r="H50" s="142">
        <v>0</v>
      </c>
      <c r="I50" s="99"/>
    </row>
    <row r="51" spans="1:11" ht="11.25" hidden="1">
      <c r="A51" s="110"/>
      <c r="B51" s="138" t="s">
        <v>94</v>
      </c>
      <c r="C51" s="128"/>
      <c r="D51" s="112"/>
      <c r="E51" s="139"/>
      <c r="F51" s="126"/>
      <c r="G51" s="126"/>
      <c r="H51" s="142">
        <v>0</v>
      </c>
      <c r="I51" s="99"/>
      <c r="K51" s="106"/>
    </row>
    <row r="52" spans="1:9" ht="11.25" hidden="1">
      <c r="A52" s="110"/>
      <c r="B52" s="105" t="s">
        <v>288</v>
      </c>
      <c r="C52" s="126"/>
      <c r="D52" s="112"/>
      <c r="E52" s="139"/>
      <c r="F52" s="126"/>
      <c r="G52" s="126"/>
      <c r="H52" s="144"/>
      <c r="I52" s="99"/>
    </row>
    <row r="53" spans="1:9" ht="11.25" hidden="1">
      <c r="A53" s="110"/>
      <c r="B53" s="138" t="s">
        <v>95</v>
      </c>
      <c r="C53" s="128"/>
      <c r="D53" s="112"/>
      <c r="E53" s="139"/>
      <c r="F53" s="126"/>
      <c r="G53" s="126"/>
      <c r="H53" s="142">
        <v>0</v>
      </c>
      <c r="I53" s="99"/>
    </row>
    <row r="54" spans="1:11" ht="11.25" hidden="1">
      <c r="A54" s="110"/>
      <c r="B54" s="138" t="s">
        <v>96</v>
      </c>
      <c r="C54" s="128"/>
      <c r="D54" s="112"/>
      <c r="E54" s="139"/>
      <c r="F54" s="126"/>
      <c r="G54" s="126"/>
      <c r="H54" s="142">
        <v>0</v>
      </c>
      <c r="I54" s="99"/>
      <c r="K54" s="106"/>
    </row>
    <row r="55" spans="1:9" ht="11.25" customHeight="1">
      <c r="A55" s="110"/>
      <c r="B55" s="204" t="s">
        <v>61</v>
      </c>
      <c r="C55" s="204"/>
      <c r="D55" s="204"/>
      <c r="E55" s="204"/>
      <c r="F55" s="204"/>
      <c r="G55" s="204"/>
      <c r="H55" s="144">
        <f>SUM(H36,H39,H50,H53)*(1+Uhikhinnad!$E$161)</f>
        <v>121894.24999999999</v>
      </c>
      <c r="I55" s="99"/>
    </row>
    <row r="56" spans="1:14" ht="11.25" customHeight="1">
      <c r="A56" s="110"/>
      <c r="B56" s="204" t="s">
        <v>62</v>
      </c>
      <c r="C56" s="204"/>
      <c r="D56" s="204"/>
      <c r="E56" s="204"/>
      <c r="F56" s="204"/>
      <c r="G56" s="204"/>
      <c r="H56" s="144">
        <f>SUM(H37,H45,H51,H54)*(1+Uhikhinnad!$E$161)</f>
        <v>0</v>
      </c>
      <c r="I56" s="99"/>
      <c r="N56" s="122"/>
    </row>
    <row r="57" spans="1:14" ht="11.25">
      <c r="A57" s="129"/>
      <c r="B57" s="205" t="s">
        <v>13</v>
      </c>
      <c r="C57" s="205"/>
      <c r="D57" s="205"/>
      <c r="E57" s="205"/>
      <c r="F57" s="205"/>
      <c r="G57" s="205"/>
      <c r="H57" s="145">
        <f>SUM(H55:H56)</f>
        <v>121894.24999999999</v>
      </c>
      <c r="I57" s="99"/>
      <c r="N57" s="122"/>
    </row>
    <row r="58" spans="1:9" ht="11.25" hidden="1">
      <c r="A58" s="129"/>
      <c r="B58" s="105" t="s">
        <v>133</v>
      </c>
      <c r="C58" s="126"/>
      <c r="D58" s="126"/>
      <c r="E58" s="126"/>
      <c r="F58" s="126"/>
      <c r="G58" s="126"/>
      <c r="H58" s="130"/>
      <c r="I58" s="126"/>
    </row>
    <row r="59" spans="1:9" ht="11.25" hidden="1">
      <c r="A59" s="129"/>
      <c r="B59" s="137" t="s">
        <v>88</v>
      </c>
      <c r="C59" s="126"/>
      <c r="D59" s="126"/>
      <c r="E59" s="126"/>
      <c r="F59" s="126"/>
      <c r="G59" s="126"/>
      <c r="H59" s="130"/>
      <c r="I59" s="126"/>
    </row>
    <row r="60" spans="2:9" ht="11.25" customHeight="1" hidden="1">
      <c r="B60" s="105" t="s">
        <v>131</v>
      </c>
      <c r="C60" s="126"/>
      <c r="D60" s="126"/>
      <c r="E60" s="126"/>
      <c r="F60" s="126"/>
      <c r="G60" s="126"/>
      <c r="H60" s="130"/>
      <c r="I60" s="126"/>
    </row>
    <row r="61" spans="2:9" ht="11.25" customHeight="1" hidden="1">
      <c r="B61" s="138" t="s">
        <v>281</v>
      </c>
      <c r="C61" s="126"/>
      <c r="D61" s="126"/>
      <c r="E61" s="126"/>
      <c r="F61" s="126"/>
      <c r="G61" s="126"/>
      <c r="H61" s="142">
        <v>0</v>
      </c>
      <c r="I61" s="126"/>
    </row>
    <row r="62" spans="2:9" ht="11.25" customHeight="1" hidden="1">
      <c r="B62" s="138" t="s">
        <v>98</v>
      </c>
      <c r="C62" s="126"/>
      <c r="D62" s="126"/>
      <c r="E62" s="126"/>
      <c r="F62" s="126"/>
      <c r="G62" s="126"/>
      <c r="H62" s="142">
        <v>0</v>
      </c>
      <c r="I62" s="126"/>
    </row>
    <row r="63" spans="2:8" ht="11.25" customHeight="1" hidden="1">
      <c r="B63" s="105" t="s">
        <v>132</v>
      </c>
      <c r="H63" s="141"/>
    </row>
    <row r="64" spans="2:8" ht="11.25" customHeight="1" hidden="1">
      <c r="B64" s="138" t="s">
        <v>99</v>
      </c>
      <c r="H64" s="142">
        <v>0</v>
      </c>
    </row>
    <row r="65" spans="2:8" ht="11.25" customHeight="1" hidden="1">
      <c r="B65" s="138" t="s">
        <v>100</v>
      </c>
      <c r="H65" s="142">
        <v>0</v>
      </c>
    </row>
    <row r="66" spans="1:9" ht="11.25" customHeight="1" hidden="1">
      <c r="A66" s="110"/>
      <c r="B66" s="204" t="s">
        <v>61</v>
      </c>
      <c r="C66" s="204"/>
      <c r="D66" s="204"/>
      <c r="E66" s="204"/>
      <c r="F66" s="204"/>
      <c r="G66" s="204"/>
      <c r="H66" s="144">
        <f>SUM(H61,H64)*(1+Uhikhinnad!$E$161)</f>
        <v>0</v>
      </c>
      <c r="I66" s="99"/>
    </row>
    <row r="67" spans="1:14" ht="11.25" customHeight="1" hidden="1">
      <c r="A67" s="110"/>
      <c r="B67" s="204" t="s">
        <v>62</v>
      </c>
      <c r="C67" s="204"/>
      <c r="D67" s="204"/>
      <c r="E67" s="204"/>
      <c r="F67" s="204"/>
      <c r="G67" s="204"/>
      <c r="H67" s="144">
        <f>SUM(H62,H65)*(1+Uhikhinnad!$E$161)</f>
        <v>0</v>
      </c>
      <c r="I67" s="99"/>
      <c r="N67" s="122"/>
    </row>
    <row r="68" spans="1:14" ht="11.25" hidden="1">
      <c r="A68" s="129"/>
      <c r="B68" s="205" t="s">
        <v>305</v>
      </c>
      <c r="C68" s="205"/>
      <c r="D68" s="205"/>
      <c r="E68" s="205"/>
      <c r="F68" s="205"/>
      <c r="G68" s="205"/>
      <c r="H68" s="145">
        <f>SUM(H66:H67)</f>
        <v>0</v>
      </c>
      <c r="I68" s="99"/>
      <c r="N68" s="122"/>
    </row>
    <row r="70" ht="11.25" customHeight="1" hidden="1"/>
    <row r="71" spans="7:8" ht="11.25" customHeight="1" hidden="1">
      <c r="G71" s="98" t="s">
        <v>353</v>
      </c>
      <c r="H71" s="97">
        <f>H30+H55</f>
        <v>195114.75</v>
      </c>
    </row>
    <row r="72" spans="7:8" ht="11.25" customHeight="1" hidden="1">
      <c r="G72" s="98" t="s">
        <v>355</v>
      </c>
      <c r="H72" s="97">
        <f>H31+H56</f>
        <v>0</v>
      </c>
    </row>
    <row r="73" spans="7:8" ht="11.25" customHeight="1" hidden="1">
      <c r="G73" s="98" t="s">
        <v>68</v>
      </c>
      <c r="H73" s="97">
        <f>H71+H72</f>
        <v>195114.75</v>
      </c>
    </row>
    <row r="74" ht="11.25" customHeight="1" hidden="1"/>
  </sheetData>
  <sheetProtection/>
  <mergeCells count="9">
    <mergeCell ref="B30:G30"/>
    <mergeCell ref="B67:G67"/>
    <mergeCell ref="B68:G68"/>
    <mergeCell ref="B31:G31"/>
    <mergeCell ref="B32:G32"/>
    <mergeCell ref="B55:G55"/>
    <mergeCell ref="B56:G56"/>
    <mergeCell ref="B57:G57"/>
    <mergeCell ref="B66:G66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Liisi Pekri - INFRAGATE</dc:creator>
  <cp:keywords/>
  <dc:description/>
  <cp:lastModifiedBy>Karin Erimäe - INFRAGATE</cp:lastModifiedBy>
  <cp:lastPrinted>2017-06-09T13:13:43Z</cp:lastPrinted>
  <dcterms:created xsi:type="dcterms:W3CDTF">2012-09-14T14:07:12Z</dcterms:created>
  <dcterms:modified xsi:type="dcterms:W3CDTF">2018-03-02T11:01:24Z</dcterms:modified>
  <cp:category/>
  <cp:version/>
  <cp:contentType/>
  <cp:contentStatus/>
</cp:coreProperties>
</file>